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14835" windowHeight="9135" activeTab="0"/>
  </bookViews>
  <sheets>
    <sheet name="Costs" sheetId="1" r:id="rId1"/>
    <sheet name="Payback" sheetId="2" r:id="rId2"/>
    <sheet name="Box Labels" sheetId="3" r:id="rId3"/>
    <sheet name="Box Labels 2" sheetId="4" r:id="rId4"/>
    <sheet name="Conversions" sheetId="5" r:id="rId5"/>
    <sheet name="Energy" sheetId="6" r:id="rId6"/>
    <sheet name="Ver. 0.99" sheetId="7" r:id="rId7"/>
  </sheets>
  <definedNames>
    <definedName name="Bullet1000">#REF!</definedName>
    <definedName name="Bullet10000">#REF!</definedName>
    <definedName name="Bullet500">#REF!</definedName>
    <definedName name="Bullet5000">#REF!</definedName>
    <definedName name="BulletBrand">'Box Labels'!$C$4</definedName>
    <definedName name="BulletType">'Box Labels'!$C$5</definedName>
    <definedName name="BulletWeight">'Box Labels'!$C$6</definedName>
    <definedName name="Caliber">'Box Labels'!$C$2</definedName>
    <definedName name="CaseType">'Box Labels'!$C$3</definedName>
    <definedName name="EstVelocity">'Box Labels'!$F$7</definedName>
    <definedName name="Label1">'Box Labels'!$C$15</definedName>
    <definedName name="Label10">'Box Labels'!$D$27</definedName>
    <definedName name="Label11">'Box Labels'!$C$30</definedName>
    <definedName name="Label12">'Box Labels'!$D$30</definedName>
    <definedName name="Label2">'Box Labels'!$D$15</definedName>
    <definedName name="Label3">'Box Labels'!$C$18</definedName>
    <definedName name="Label4">'Box Labels'!$D$18</definedName>
    <definedName name="Label5">'Box Labels'!$C$21</definedName>
    <definedName name="Label6">'Box Labels'!$D$21</definedName>
    <definedName name="label7">'Box Labels'!$C$24</definedName>
    <definedName name="Label8">'Box Labels'!$D$24</definedName>
    <definedName name="Label9">'Box Labels'!$C$27</definedName>
    <definedName name="LabelB1">'Box Labels 2'!$C$10</definedName>
    <definedName name="LabelB10">'Box Labels 2'!$C$13</definedName>
    <definedName name="LabelB11">'Box Labels 2'!$D$13</definedName>
    <definedName name="LabelB12">'Box Labels 2'!$E$13</definedName>
    <definedName name="LabelB13">'Box Labels 2'!$C$14</definedName>
    <definedName name="LabelB14">'Box Labels 2'!$D$14</definedName>
    <definedName name="LabelB15">'Box Labels 2'!$E$14</definedName>
    <definedName name="LabelB16">'Box Labels 2'!$C$15</definedName>
    <definedName name="LabelB17">'Box Labels 2'!$D$15</definedName>
    <definedName name="LabelB18">'Box Labels 2'!$E$15</definedName>
    <definedName name="LabelB19">'Box Labels 2'!$C$16</definedName>
    <definedName name="LabelB2">'Box Labels 2'!$D$10</definedName>
    <definedName name="LabelB20">'Box Labels 2'!$D$16</definedName>
    <definedName name="LabelB21">'Box Labels 2'!$E$16</definedName>
    <definedName name="LabelB22">'Box Labels 2'!$C$17</definedName>
    <definedName name="LabelB23">'Box Labels 2'!$D$17</definedName>
    <definedName name="LabelB24">'Box Labels 2'!$E$17</definedName>
    <definedName name="LabelB25">'Box Labels 2'!$C$18</definedName>
    <definedName name="LabelB26">'Box Labels 2'!$D$18</definedName>
    <definedName name="LabelB27">'Box Labels 2'!$E$18</definedName>
    <definedName name="LabelB28">'Box Labels 2'!$C$19</definedName>
    <definedName name="LabelB29">'Box Labels 2'!$D$19</definedName>
    <definedName name="LabelB3">'Box Labels 2'!$E$10</definedName>
    <definedName name="LabelB30">'Box Labels 2'!$E$19</definedName>
    <definedName name="LabelB4">'Box Labels 2'!$C$11</definedName>
    <definedName name="LabelB5">'Box Labels 2'!$D$11</definedName>
    <definedName name="LabelB6">'Box Labels 2'!$E$11</definedName>
    <definedName name="LabelB7">'Box Labels 2'!$C$12</definedName>
    <definedName name="LabelB8">'Box Labels 2'!$D$12</definedName>
    <definedName name="LabelB9">'Box Labels 2'!$E$12</definedName>
    <definedName name="LoadDate">'Box Labels'!$C$7</definedName>
    <definedName name="Note1">'Box Labels'!$B$8</definedName>
    <definedName name="OAL">'Box Labels'!$F$6</definedName>
    <definedName name="Powder1000">#REF!</definedName>
    <definedName name="Powder10000">#REF!</definedName>
    <definedName name="Powder500">#REF!</definedName>
    <definedName name="Powder5000">#REF!</definedName>
    <definedName name="PowderType">'Box Labels'!$F$2</definedName>
    <definedName name="PowderWeight">'Box Labels'!$F$3</definedName>
    <definedName name="PrimerBrand">'Box Labels'!$F$4</definedName>
    <definedName name="PrimerType">'Box Labels'!$F$5</definedName>
    <definedName name="_xlnm.Print_Area" localSheetId="2">'Box Labels'!$H$24:$P$67</definedName>
    <definedName name="_xlnm.Print_Area" localSheetId="3">'Box Labels 2'!$H$25:$U$93</definedName>
    <definedName name="_xlnm.Print_Area" localSheetId="4">'Conversions'!$A$3:$J$24</definedName>
    <definedName name="_xlnm.Print_Area" localSheetId="0">'Costs'!$A$1:$J$26</definedName>
    <definedName name="_xlnm.Print_Area" localSheetId="5">'Energy'!$B$4:$G$16</definedName>
    <definedName name="_xlnm.Print_Area" localSheetId="1">'Payback'!$A$1:$O$26</definedName>
    <definedName name="TotalCostPerRound">'Costs'!$I$22</definedName>
    <definedName name="TotalPerRound">'Costs'!$I$22</definedName>
  </definedNames>
  <calcPr fullCalcOnLoad="1"/>
</workbook>
</file>

<file path=xl/comments1.xml><?xml version="1.0" encoding="utf-8"?>
<comments xmlns="http://schemas.openxmlformats.org/spreadsheetml/2006/main">
  <authors>
    <author>Timothy W. Hartle</author>
  </authors>
  <commentList>
    <comment ref="B6" authorId="0">
      <text>
        <r>
          <rPr>
            <b/>
            <sz val="12"/>
            <rFont val="Tahoma"/>
            <family val="2"/>
          </rPr>
          <t>If this value is not a whole number of pounds, be sure to convert it to a decimal value before entering it. (e.g. 1lb 8oz =1.5lbs so enter 1.5)</t>
        </r>
        <r>
          <rPr>
            <sz val="8"/>
            <rFont val="Tahoma"/>
            <family val="0"/>
          </rPr>
          <t xml:space="preserve">
</t>
        </r>
      </text>
    </comment>
    <comment ref="I5" authorId="0">
      <text>
        <r>
          <rPr>
            <b/>
            <sz val="8"/>
            <rFont val="Tahoma"/>
            <family val="0"/>
          </rPr>
          <t>Optional</t>
        </r>
        <r>
          <rPr>
            <sz val="8"/>
            <rFont val="Tahoma"/>
            <family val="0"/>
          </rPr>
          <t xml:space="preserve">
</t>
        </r>
      </text>
    </comment>
    <comment ref="H9" authorId="0">
      <text>
        <r>
          <rPr>
            <b/>
            <sz val="8"/>
            <rFont val="Tahoma"/>
            <family val="0"/>
          </rPr>
          <t>Optional - prorate this amount if necessary.  Shipping costs, if entered, are included in calculation of summary costs (below).</t>
        </r>
        <r>
          <rPr>
            <sz val="8"/>
            <rFont val="Tahoma"/>
            <family val="0"/>
          </rPr>
          <t xml:space="preserve">
</t>
        </r>
      </text>
    </comment>
    <comment ref="H10" authorId="0">
      <text>
        <r>
          <rPr>
            <b/>
            <sz val="8"/>
            <rFont val="Tahoma"/>
            <family val="0"/>
          </rPr>
          <t>Optional - prorate this amount if necessary.  Taxes, if entered, are included in calculation of summary costs (below).</t>
        </r>
        <r>
          <rPr>
            <sz val="8"/>
            <rFont val="Tahoma"/>
            <family val="0"/>
          </rPr>
          <t xml:space="preserve">
</t>
        </r>
      </text>
    </comment>
    <comment ref="B9" authorId="0">
      <text>
        <r>
          <rPr>
            <b/>
            <sz val="12"/>
            <rFont val="Tahoma"/>
            <family val="2"/>
          </rPr>
          <t>If you're using cases from purchased ammo, either leave the cost of cases blank or prorate some portion of the ammo's cost if you like.</t>
        </r>
        <r>
          <rPr>
            <sz val="8"/>
            <rFont val="Tahoma"/>
            <family val="0"/>
          </rPr>
          <t xml:space="preserve">
</t>
        </r>
      </text>
    </comment>
    <comment ref="B10" authorId="0">
      <text>
        <r>
          <rPr>
            <b/>
            <sz val="12"/>
            <rFont val="Tahoma"/>
            <family val="2"/>
          </rPr>
          <t>If you didn't purchase the cases separately or you just don't wish to include a cost for cases, you must still enter the quantity of cases you plan to use.</t>
        </r>
        <r>
          <rPr>
            <sz val="8"/>
            <rFont val="Tahoma"/>
            <family val="0"/>
          </rPr>
          <t xml:space="preserve">
</t>
        </r>
      </text>
    </comment>
    <comment ref="B11" authorId="0">
      <text>
        <r>
          <rPr>
            <b/>
            <sz val="12"/>
            <rFont val="Tahoma"/>
            <family val="2"/>
          </rPr>
          <t>Enter the total number of times you can reasonably expect to use the cases.</t>
        </r>
        <r>
          <rPr>
            <sz val="12"/>
            <rFont val="Tahoma"/>
            <family val="2"/>
          </rPr>
          <t xml:space="preserve">
</t>
        </r>
      </text>
    </comment>
  </commentList>
</comments>
</file>

<file path=xl/comments2.xml><?xml version="1.0" encoding="utf-8"?>
<comments xmlns="http://schemas.openxmlformats.org/spreadsheetml/2006/main">
  <authors>
    <author>Timothy W. Hartle</author>
  </authors>
  <commentList>
    <comment ref="C4" authorId="0">
      <text>
        <r>
          <rPr>
            <b/>
            <sz val="12"/>
            <rFont val="Tahoma"/>
            <family val="2"/>
          </rPr>
          <t>By default, this value is obtained from the "Costs" tab.  If it doesn't look accurate, go back to the "Costs" tab and verify your entries.
If you haven't filled out the info on the "Costs" tab but would like to approximate your reloaded box price instead, enter a value in the "Estimated Reloaded Box Price" at the bottom center of this worksheet.</t>
        </r>
        <r>
          <rPr>
            <sz val="12"/>
            <rFont val="Tahoma"/>
            <family val="2"/>
          </rPr>
          <t xml:space="preserve">
</t>
        </r>
      </text>
    </comment>
    <comment ref="C5" authorId="0">
      <text>
        <r>
          <rPr>
            <b/>
            <sz val="12"/>
            <rFont val="Tahoma"/>
            <family val="2"/>
          </rPr>
          <t>Enter the number of rounds you fire during an average week.</t>
        </r>
        <r>
          <rPr>
            <sz val="8"/>
            <rFont val="Tahoma"/>
            <family val="0"/>
          </rPr>
          <t xml:space="preserve">
</t>
        </r>
      </text>
    </comment>
    <comment ref="G21" authorId="0">
      <text>
        <r>
          <rPr>
            <b/>
            <sz val="12"/>
            <rFont val="Tahoma"/>
            <family val="2"/>
          </rPr>
          <t>Optional - To factor your time into the calculation, enter reload time here.</t>
        </r>
      </text>
    </comment>
    <comment ref="G22" authorId="0">
      <text>
        <r>
          <rPr>
            <b/>
            <sz val="12"/>
            <rFont val="Tahoma"/>
            <family val="2"/>
          </rPr>
          <t>Optional - To factor your time into the calculation, enter what your time is worth here.</t>
        </r>
        <r>
          <rPr>
            <sz val="12"/>
            <rFont val="Tahoma"/>
            <family val="2"/>
          </rPr>
          <t xml:space="preserve">
</t>
        </r>
      </text>
    </comment>
    <comment ref="F18" authorId="0">
      <text>
        <r>
          <rPr>
            <b/>
            <sz val="12"/>
            <rFont val="Tahoma"/>
            <family val="2"/>
          </rPr>
          <t>Optional - In these miscellaneous fields, enter a description and cost for anything that doesn't fit into the other categories.  Items like tumbler media or deburring tools would go here.</t>
        </r>
        <r>
          <rPr>
            <sz val="8"/>
            <rFont val="Tahoma"/>
            <family val="0"/>
          </rPr>
          <t xml:space="preserve">
</t>
        </r>
      </text>
    </comment>
    <comment ref="F3" authorId="0">
      <text>
        <r>
          <rPr>
            <b/>
            <sz val="12"/>
            <rFont val="Tahoma"/>
            <family val="2"/>
          </rPr>
          <t>Enter a description of your dies and their respective costs here.  If you purchased a die set, just put the price of the set in one of these slots.</t>
        </r>
        <r>
          <rPr>
            <sz val="12"/>
            <rFont val="Tahoma"/>
            <family val="2"/>
          </rPr>
          <t xml:space="preserve">
</t>
        </r>
      </text>
    </comment>
    <comment ref="C7" authorId="0">
      <text>
        <r>
          <rPr>
            <b/>
            <sz val="12"/>
            <rFont val="Tahoma"/>
            <family val="2"/>
          </rPr>
          <t>Put the cost of your reloading press here.  If you already know the total cost of all your reloading equipment, there's no need to fill out any of the other equipment fields.  Just enter the total cost in this field.  (Don't forget to put in salary costs if you want to factor them in.)
 For your own documentation, it might be good to record individual item costs anyway, even if you already know the combined cost.</t>
        </r>
        <r>
          <rPr>
            <sz val="8"/>
            <rFont val="Tahoma"/>
            <family val="0"/>
          </rPr>
          <t xml:space="preserve">
</t>
        </r>
      </text>
    </comment>
    <comment ref="C15" authorId="0">
      <text>
        <r>
          <rPr>
            <b/>
            <sz val="12"/>
            <rFont val="Tahoma"/>
            <family val="2"/>
          </rPr>
          <t>Enter the combined costs of items like extra priming tubes and automatic primer loading equipment here.</t>
        </r>
        <r>
          <rPr>
            <sz val="12"/>
            <rFont val="Tahoma"/>
            <family val="2"/>
          </rPr>
          <t xml:space="preserve">
</t>
        </r>
      </text>
    </comment>
    <comment ref="C14" authorId="0">
      <text>
        <r>
          <rPr>
            <b/>
            <sz val="12"/>
            <rFont val="Tahoma"/>
            <family val="2"/>
          </rPr>
          <t>This is actually a supply, but putting it on the "Reloading Costs" tab didn't make sense because the per round cost would be difficult to quantify.</t>
        </r>
        <r>
          <rPr>
            <sz val="8"/>
            <rFont val="Tahoma"/>
            <family val="0"/>
          </rPr>
          <t xml:space="preserve">
</t>
        </r>
      </text>
    </comment>
    <comment ref="G24" authorId="0">
      <text>
        <r>
          <rPr>
            <b/>
            <sz val="12"/>
            <rFont val="Tahoma"/>
            <family val="2"/>
          </rPr>
          <t>Only enter a value here if you can't use the "Reloading Costs" workshet to calculate a value.</t>
        </r>
      </text>
    </comment>
    <comment ref="M6" authorId="0">
      <text>
        <r>
          <rPr>
            <b/>
            <sz val="12"/>
            <rFont val="Tahoma"/>
            <family val="2"/>
          </rPr>
          <t>Enter the number of rounds you fire during an average week.</t>
        </r>
        <r>
          <rPr>
            <sz val="8"/>
            <rFont val="Tahoma"/>
            <family val="0"/>
          </rPr>
          <t xml:space="preserve">
</t>
        </r>
      </text>
    </comment>
    <comment ref="M12" authorId="0">
      <text>
        <r>
          <rPr>
            <b/>
            <sz val="12"/>
            <rFont val="Tahoma"/>
            <family val="2"/>
          </rPr>
          <t>Enter the number of rounds you fire during an average week.</t>
        </r>
        <r>
          <rPr>
            <sz val="8"/>
            <rFont val="Tahoma"/>
            <family val="0"/>
          </rPr>
          <t xml:space="preserve">
</t>
        </r>
      </text>
    </comment>
    <comment ref="M18" authorId="0">
      <text>
        <r>
          <rPr>
            <b/>
            <sz val="12"/>
            <rFont val="Tahoma"/>
            <family val="2"/>
          </rPr>
          <t>Enter the number of rounds you fire during an average week.</t>
        </r>
        <r>
          <rPr>
            <sz val="8"/>
            <rFont val="Tahoma"/>
            <family val="0"/>
          </rPr>
          <t xml:space="preserve">
</t>
        </r>
      </text>
    </comment>
    <comment ref="M24" authorId="0">
      <text>
        <r>
          <rPr>
            <b/>
            <sz val="12"/>
            <rFont val="Tahoma"/>
            <family val="2"/>
          </rPr>
          <t>Enter the number of rounds you fire during an average week.</t>
        </r>
        <r>
          <rPr>
            <sz val="8"/>
            <rFont val="Tahoma"/>
            <family val="0"/>
          </rPr>
          <t xml:space="preserve">
</t>
        </r>
      </text>
    </comment>
  </commentList>
</comments>
</file>

<file path=xl/comments3.xml><?xml version="1.0" encoding="utf-8"?>
<comments xmlns="http://schemas.openxmlformats.org/spreadsheetml/2006/main">
  <authors>
    <author>Marian T. Hartle</author>
    <author>Timothy W. Hartle</author>
  </authors>
  <commentList>
    <comment ref="C2" authorId="0">
      <text>
        <r>
          <rPr>
            <b/>
            <sz val="12"/>
            <rFont val="Tahoma"/>
            <family val="2"/>
          </rPr>
          <t>As you fill in the light-green fields, they'll turn yellow instead of dark-green (like they do on the other worksheets).  This is so the labels don't print with a dark background on B&amp;W printers.  On Color printers the yellow will highlight the values.</t>
        </r>
      </text>
    </comment>
    <comment ref="B8" authorId="1">
      <text>
        <r>
          <rPr>
            <b/>
            <sz val="12"/>
            <rFont val="Tahoma"/>
            <family val="2"/>
          </rPr>
          <t>Enter up to two lines of comments here.</t>
        </r>
        <r>
          <rPr>
            <sz val="8"/>
            <rFont val="Tahoma"/>
            <family val="0"/>
          </rPr>
          <t xml:space="preserve">
</t>
        </r>
      </text>
    </comment>
  </commentList>
</comments>
</file>

<file path=xl/comments6.xml><?xml version="1.0" encoding="utf-8"?>
<comments xmlns="http://schemas.openxmlformats.org/spreadsheetml/2006/main">
  <authors>
    <author>Timothy W. Hartle</author>
  </authors>
  <commentList>
    <comment ref="E13" authorId="0">
      <text>
        <r>
          <rPr>
            <b/>
            <sz val="12"/>
            <rFont val="Arial"/>
            <family val="2"/>
          </rPr>
          <t>((Weight of Bullet x Velocity of Bullet) + (4000 x Weight of Charge)) / (7000 x g)
Assumes a powder gas effective escape velocity constant of 4000 (smokeless powder).</t>
        </r>
      </text>
    </comment>
    <comment ref="E14" authorId="0">
      <text>
        <r>
          <rPr>
            <b/>
            <sz val="12"/>
            <rFont val="Arial"/>
            <family val="2"/>
          </rPr>
          <t>(g x Recoil Impulse) / Weight of Gun</t>
        </r>
        <r>
          <rPr>
            <sz val="12"/>
            <rFont val="Arial"/>
            <family val="2"/>
          </rPr>
          <t xml:space="preserve">
</t>
        </r>
      </text>
    </comment>
    <comment ref="E15" authorId="0">
      <text>
        <r>
          <rPr>
            <b/>
            <sz val="12"/>
            <rFont val="Arial"/>
            <family val="2"/>
          </rPr>
          <t>(Weight of Gun x (Velocity of Gun²)) / (g x 2)</t>
        </r>
      </text>
    </comment>
    <comment ref="E11" authorId="0">
      <text>
        <r>
          <rPr>
            <b/>
            <sz val="12"/>
            <rFont val="Arial"/>
            <family val="2"/>
          </rPr>
          <t xml:space="preserve">(Weight of Bullet x (Velocity of Bullet^2)) / (7000 x 2 x g)
</t>
        </r>
      </text>
    </comment>
    <comment ref="E5" authorId="0">
      <text>
        <r>
          <rPr>
            <b/>
            <sz val="12"/>
            <rFont val="Arial"/>
            <family val="2"/>
          </rPr>
          <t>This value varies slightly depending on latitude.  The value is 32.1725 at 90 degrees latitude.  The value is assigned the variable "g" in comments below.</t>
        </r>
      </text>
    </comment>
  </commentList>
</comments>
</file>

<file path=xl/sharedStrings.xml><?xml version="1.0" encoding="utf-8"?>
<sst xmlns="http://schemas.openxmlformats.org/spreadsheetml/2006/main" count="237" uniqueCount="161">
  <si>
    <t>Grains</t>
  </si>
  <si>
    <t>Grams</t>
  </si>
  <si>
    <t>Ounces</t>
  </si>
  <si>
    <t>Pounds</t>
  </si>
  <si>
    <t>Number of Rounds You Plan to Reload</t>
  </si>
  <si>
    <t>Per Round Cost for Bullets =</t>
  </si>
  <si>
    <t>Per Round Cost for Powder =</t>
  </si>
  <si>
    <t>Per Round Cost for Primers =</t>
  </si>
  <si>
    <t>example</t>
  </si>
  <si>
    <t>Batch Cost of Powder =</t>
  </si>
  <si>
    <t>Batch Cost of Bullets =</t>
  </si>
  <si>
    <t>Batch Cost of Primers =</t>
  </si>
  <si>
    <t>Batch Cost =</t>
  </si>
  <si>
    <t>Total Weight:</t>
  </si>
  <si>
    <t>Bullets</t>
  </si>
  <si>
    <t>Powder</t>
  </si>
  <si>
    <t>Brass</t>
  </si>
  <si>
    <t>Primers</t>
  </si>
  <si>
    <t>Enter values in the green cells to see alternate units of measure below.</t>
  </si>
  <si>
    <t>Weight of Purchased Bullets:</t>
  </si>
  <si>
    <t>Weight of Purchased Powder:</t>
  </si>
  <si>
    <t>Pounds of Powder Needed for Batch =</t>
  </si>
  <si>
    <t>Tax Paid:</t>
  </si>
  <si>
    <t>Shipping Costs:</t>
  </si>
  <si>
    <t>Weight of Other Items:</t>
  </si>
  <si>
    <t>Batch Cost per Round =</t>
  </si>
  <si>
    <t>Total Number of Bullets Purchased</t>
  </si>
  <si>
    <t>Total Cost of Bullets Purchased</t>
  </si>
  <si>
    <t xml:space="preserve">Individual Bullet Weight (grains) </t>
  </si>
  <si>
    <t>Total Cost of Powder Purchased</t>
  </si>
  <si>
    <t>Total Pounds of Powder Purchased</t>
  </si>
  <si>
    <t>Powder Weight for Each Round (grains)</t>
  </si>
  <si>
    <t>Number of Times Cases Will be Loaded</t>
  </si>
  <si>
    <t>Total Cost of Primers Purchased</t>
  </si>
  <si>
    <t>Total Number of Primers Purchased</t>
  </si>
  <si>
    <t>Total Number of Cases Purchased</t>
  </si>
  <si>
    <t>Batch Cost per 100 Rounds =</t>
  </si>
  <si>
    <t>Batch Cost per 50 Rounds =</t>
  </si>
  <si>
    <t>Total Cost of Cases Purchased</t>
  </si>
  <si>
    <t>lbs.</t>
  </si>
  <si>
    <t>Batch Cost of Cases =</t>
  </si>
  <si>
    <t>Per Round Cost for Cases =</t>
  </si>
  <si>
    <r>
      <t>C</t>
    </r>
    <r>
      <rPr>
        <b/>
        <sz val="13"/>
        <color indexed="17"/>
        <rFont val="Arial"/>
        <family val="2"/>
      </rPr>
      <t>o</t>
    </r>
    <r>
      <rPr>
        <b/>
        <sz val="13"/>
        <color indexed="12"/>
        <rFont val="Arial"/>
        <family val="2"/>
      </rPr>
      <t>l</t>
    </r>
    <r>
      <rPr>
        <b/>
        <sz val="13"/>
        <color indexed="20"/>
        <rFont val="Arial"/>
        <family val="2"/>
      </rPr>
      <t>o</t>
    </r>
    <r>
      <rPr>
        <b/>
        <sz val="13"/>
        <color indexed="10"/>
        <rFont val="Arial"/>
        <family val="2"/>
      </rPr>
      <t>r</t>
    </r>
    <r>
      <rPr>
        <b/>
        <sz val="13"/>
        <rFont val="Arial"/>
        <family val="2"/>
      </rPr>
      <t xml:space="preserve"> </t>
    </r>
    <r>
      <rPr>
        <b/>
        <sz val="13"/>
        <color indexed="17"/>
        <rFont val="Arial"/>
        <family val="2"/>
      </rPr>
      <t>K</t>
    </r>
    <r>
      <rPr>
        <b/>
        <sz val="13"/>
        <color indexed="20"/>
        <rFont val="Arial"/>
        <family val="2"/>
      </rPr>
      <t>e</t>
    </r>
    <r>
      <rPr>
        <b/>
        <sz val="13"/>
        <color indexed="12"/>
        <rFont val="Arial"/>
        <family val="2"/>
      </rPr>
      <t>y</t>
    </r>
  </si>
  <si>
    <t>Quantity in a Box</t>
  </si>
  <si>
    <t>Box Price if Purchased</t>
  </si>
  <si>
    <t>Reloaded Box Price</t>
  </si>
  <si>
    <t>Cost of Scale</t>
  </si>
  <si>
    <t>Primer Pocket Brush</t>
  </si>
  <si>
    <t>Powder Measure</t>
  </si>
  <si>
    <t>Powder Trickler</t>
  </si>
  <si>
    <t>Case Tumbler</t>
  </si>
  <si>
    <t>Ammo Boxes</t>
  </si>
  <si>
    <t>Reloading Manual 1</t>
  </si>
  <si>
    <t>Reloading Manual 2</t>
  </si>
  <si>
    <t>Reloading Manual 3</t>
  </si>
  <si>
    <t>Powder Funnel</t>
  </si>
  <si>
    <t>Description</t>
  </si>
  <si>
    <t>Cost</t>
  </si>
  <si>
    <t>Die 1</t>
  </si>
  <si>
    <t>Die 2</t>
  </si>
  <si>
    <t>Die 3</t>
  </si>
  <si>
    <t>Die 4</t>
  </si>
  <si>
    <t>Die 5</t>
  </si>
  <si>
    <t>Die 6</t>
  </si>
  <si>
    <t>Die 7</t>
  </si>
  <si>
    <t>Die 8</t>
  </si>
  <si>
    <t>Die 9</t>
  </si>
  <si>
    <t>Die 10</t>
  </si>
  <si>
    <t>Die 11</t>
  </si>
  <si>
    <t>Die 12</t>
  </si>
  <si>
    <t>Press</t>
  </si>
  <si>
    <t>Dies</t>
  </si>
  <si>
    <t>Case Lube</t>
  </si>
  <si>
    <t>Shipping</t>
  </si>
  <si>
    <t>Calipers</t>
  </si>
  <si>
    <t>Case Trimmer</t>
  </si>
  <si>
    <t>Weekly Cost Savings</t>
  </si>
  <si>
    <t>Total Equipment Cost</t>
  </si>
  <si>
    <t>Hourly Rate</t>
  </si>
  <si>
    <t>Weekly Salary Cost</t>
  </si>
  <si>
    <t>Weekly Supply Costs</t>
  </si>
  <si>
    <t>Total Weekly Costs</t>
  </si>
  <si>
    <t>Monthly Cost Savings</t>
  </si>
  <si>
    <t># of Shots Fired / Week</t>
  </si>
  <si>
    <t>Minutes to load 100 Rounds</t>
  </si>
  <si>
    <t>Case Loading Block</t>
  </si>
  <si>
    <t>Shell Holder 1</t>
  </si>
  <si>
    <t>Shell Holder 2</t>
  </si>
  <si>
    <t>Shell Holder 3</t>
  </si>
  <si>
    <t>Months till Payback</t>
  </si>
  <si>
    <t>Shell Holders</t>
  </si>
  <si>
    <t>Misc. 1</t>
  </si>
  <si>
    <t>Misc. 2</t>
  </si>
  <si>
    <t>Misc. 3</t>
  </si>
  <si>
    <t>Primer Accessories</t>
  </si>
  <si>
    <t>Inches</t>
  </si>
  <si>
    <t>Millimeters</t>
  </si>
  <si>
    <t>Batch Cost per 20 Rounds =</t>
  </si>
  <si>
    <t>Estimated Reloaded Box Price</t>
  </si>
  <si>
    <t>357SIG</t>
  </si>
  <si>
    <t>Winchester</t>
  </si>
  <si>
    <t>Ranier</t>
  </si>
  <si>
    <t>125 gr.</t>
  </si>
  <si>
    <t>12.4 gr.</t>
  </si>
  <si>
    <t>Federal</t>
  </si>
  <si>
    <t>1280 fps</t>
  </si>
  <si>
    <t>1.133 in.</t>
  </si>
  <si>
    <t>A9</t>
  </si>
  <si>
    <t>Caliber:</t>
  </si>
  <si>
    <t>Case Type:</t>
  </si>
  <si>
    <t>Bullet Brand:</t>
  </si>
  <si>
    <t>Bullet Type:</t>
  </si>
  <si>
    <t>Bullet Weight:</t>
  </si>
  <si>
    <t>Powder Type:</t>
  </si>
  <si>
    <t>Powder Weight:</t>
  </si>
  <si>
    <t>Primer Brand:</t>
  </si>
  <si>
    <t>OAL:</t>
  </si>
  <si>
    <t>Plated FP</t>
  </si>
  <si>
    <t>Est. Velocity:</t>
  </si>
  <si>
    <t>Bullet Wt.:</t>
  </si>
  <si>
    <t>Date:</t>
  </si>
  <si>
    <t>These rounds were loaded on an unusual day when relative humidity was 94% and ambient temperature was only 70</t>
  </si>
  <si>
    <t>Type Y below to print</t>
  </si>
  <si>
    <t>Use the "Print Preview" function to verify the correct labels are selected.</t>
  </si>
  <si>
    <t>These labels should print properly on a sheet of 10 - 2" x 4" Avery labels.</t>
  </si>
  <si>
    <t>Only those fields (above) for which you've entered data will print.</t>
  </si>
  <si>
    <t xml:space="preserve">To the left is a mock-up of a printed label sheet.  Enter the capital </t>
  </si>
  <si>
    <t>letter Y in the light-green area of each label you wish to print.</t>
  </si>
  <si>
    <t>Enter your values in the light-green cells.</t>
  </si>
  <si>
    <t>Example:</t>
  </si>
  <si>
    <t>Use this worksheet for your own purposes.  It's unprotected.</t>
  </si>
  <si>
    <t>Recoil Impulse</t>
  </si>
  <si>
    <t>Kinetic Energy</t>
  </si>
  <si>
    <t>Power Factor</t>
  </si>
  <si>
    <t>Weight Of Bullet</t>
  </si>
  <si>
    <t>Weight Of Powder Charge</t>
  </si>
  <si>
    <t>Weight Of Gun</t>
  </si>
  <si>
    <t>Velocity of Bullet</t>
  </si>
  <si>
    <t>Feet / Second</t>
  </si>
  <si>
    <t>Pounds / Second</t>
  </si>
  <si>
    <t>Foot-Pounds</t>
  </si>
  <si>
    <t>Feet / Second ²</t>
  </si>
  <si>
    <t>Recoil Velocity</t>
  </si>
  <si>
    <t>Recoil Energy</t>
  </si>
  <si>
    <t>Acceleration Due to Gravity</t>
  </si>
  <si>
    <t>Primer Type/Lot:</t>
  </si>
  <si>
    <t>SP/1234567</t>
  </si>
  <si>
    <t>Small Box Labels</t>
  </si>
  <si>
    <r>
      <t xml:space="preserve">Titles and values will print on those items for which you've entered values on the primary </t>
    </r>
    <r>
      <rPr>
        <b/>
        <u val="single"/>
        <sz val="12"/>
        <color indexed="12"/>
        <rFont val="Arial"/>
        <family val="2"/>
      </rPr>
      <t>Box Labels</t>
    </r>
    <r>
      <rPr>
        <b/>
        <sz val="12"/>
        <color indexed="12"/>
        <rFont val="Arial"/>
        <family val="2"/>
      </rPr>
      <t xml:space="preserve"> worksheet.  Place a "Y" in the green label position (to the left) for each small label you would like to print.  Again, only those fields for which you've entered data will print.  Use the print-preview function to verify the correct data and setup before printing.</t>
    </r>
  </si>
  <si>
    <t>Caliber # 2</t>
  </si>
  <si>
    <t>Caliber # 3</t>
  </si>
  <si>
    <t>Caliber # 4</t>
  </si>
  <si>
    <t>Caliber # 5</t>
  </si>
  <si>
    <t>Hint:</t>
  </si>
  <si>
    <t>To include additional calibers, enter more information to the right.</t>
  </si>
  <si>
    <t xml:space="preserve">Use the "Costs" worksheet to calculate Reloaded Box Price for each caliber.  Be sure NOT to move the last caliber into one of these slots as it will automatically be used as caliber # 1 on this worksheet (to the left).  </t>
  </si>
  <si>
    <t xml:space="preserve">           Conversion Calculations</t>
  </si>
  <si>
    <t xml:space="preserve">        Energy Calculations</t>
  </si>
  <si>
    <t>Large Box Labels</t>
  </si>
  <si>
    <t>Payback</t>
  </si>
  <si>
    <t xml:space="preserve">     Costs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</si>
</sst>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
    <numFmt numFmtId="167" formatCode="#,##0.000"/>
    <numFmt numFmtId="168" formatCode="0.000"/>
    <numFmt numFmtId="169" formatCode="0.0000"/>
    <numFmt numFmtId="170" formatCode="m/d/yy"/>
    <numFmt numFmtId="171" formatCode="&quot;$&quot;#,##0.0"/>
    <numFmt numFmtId="172" formatCode="#,##0.0"/>
  </numFmts>
  <fonts count="33">
    <font>
      <sz val="10"/>
      <name val="Arial"/>
      <family val="0"/>
    </font>
    <font>
      <sz val="14"/>
      <name val="Arial"/>
      <family val="2"/>
    </font>
    <font>
      <sz val="8"/>
      <name val="Tahoma"/>
      <family val="0"/>
    </font>
    <font>
      <b/>
      <sz val="12"/>
      <name val="Tahoma"/>
      <family val="2"/>
    </font>
    <font>
      <b/>
      <sz val="13"/>
      <name val="Arial"/>
      <family val="2"/>
    </font>
    <font>
      <b/>
      <sz val="8"/>
      <name val="Tahoma"/>
      <family val="0"/>
    </font>
    <font>
      <sz val="13"/>
      <name val="Arial"/>
      <family val="2"/>
    </font>
    <font>
      <b/>
      <sz val="12"/>
      <name val="Arial"/>
      <family val="2"/>
    </font>
    <font>
      <b/>
      <sz val="13"/>
      <color indexed="10"/>
      <name val="Arial"/>
      <family val="2"/>
    </font>
    <font>
      <b/>
      <sz val="13"/>
      <color indexed="17"/>
      <name val="Arial"/>
      <family val="2"/>
    </font>
    <font>
      <b/>
      <sz val="13"/>
      <color indexed="12"/>
      <name val="Arial"/>
      <family val="2"/>
    </font>
    <font>
      <b/>
      <sz val="13"/>
      <color indexed="20"/>
      <name val="Arial"/>
      <family val="2"/>
    </font>
    <font>
      <sz val="9"/>
      <name val="Arial"/>
      <family val="2"/>
    </font>
    <font>
      <b/>
      <sz val="9"/>
      <name val="Arial"/>
      <family val="2"/>
    </font>
    <font>
      <sz val="12"/>
      <name val="Tahoma"/>
      <family val="2"/>
    </font>
    <font>
      <sz val="12"/>
      <name val="Arial"/>
      <family val="2"/>
    </font>
    <font>
      <b/>
      <sz val="10"/>
      <name val="Arial"/>
      <family val="2"/>
    </font>
    <font>
      <b/>
      <sz val="14"/>
      <name val="Arial"/>
      <family val="2"/>
    </font>
    <font>
      <b/>
      <sz val="10"/>
      <color indexed="12"/>
      <name val="Arial"/>
      <family val="2"/>
    </font>
    <font>
      <u val="single"/>
      <sz val="14"/>
      <name val="Arial"/>
      <family val="2"/>
    </font>
    <font>
      <sz val="11"/>
      <name val="Arial"/>
      <family val="2"/>
    </font>
    <font>
      <b/>
      <sz val="11"/>
      <name val="Arial"/>
      <family val="2"/>
    </font>
    <font>
      <b/>
      <sz val="12"/>
      <color indexed="12"/>
      <name val="Arial"/>
      <family val="2"/>
    </font>
    <font>
      <b/>
      <sz val="16"/>
      <color indexed="12"/>
      <name val="Arial"/>
      <family val="2"/>
    </font>
    <font>
      <b/>
      <u val="single"/>
      <sz val="12"/>
      <color indexed="12"/>
      <name val="Arial"/>
      <family val="2"/>
    </font>
    <font>
      <b/>
      <sz val="7"/>
      <name val="Arial"/>
      <family val="2"/>
    </font>
    <font>
      <sz val="7"/>
      <name val="Arial"/>
      <family val="2"/>
    </font>
    <font>
      <sz val="14"/>
      <color indexed="12"/>
      <name val="Arial"/>
      <family val="2"/>
    </font>
    <font>
      <sz val="12"/>
      <color indexed="12"/>
      <name val="Arial"/>
      <family val="2"/>
    </font>
    <font>
      <b/>
      <sz val="16"/>
      <name val="Arial"/>
      <family val="2"/>
    </font>
    <font>
      <b/>
      <sz val="18"/>
      <name val="Arial"/>
      <family val="2"/>
    </font>
    <font>
      <b/>
      <sz val="20"/>
      <name val="Arial"/>
      <family val="2"/>
    </font>
    <font>
      <b/>
      <sz val="8"/>
      <name val="Arial"/>
      <family val="2"/>
    </font>
  </fonts>
  <fills count="10">
    <fill>
      <patternFill/>
    </fill>
    <fill>
      <patternFill patternType="gray125"/>
    </fill>
    <fill>
      <patternFill patternType="solid">
        <fgColor indexed="9"/>
        <bgColor indexed="64"/>
      </patternFill>
    </fill>
    <fill>
      <patternFill patternType="lightGray">
        <bgColor indexed="9"/>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double"/>
      <top style="double"/>
      <bottom style="double"/>
    </border>
    <border>
      <left style="double"/>
      <right style="thin"/>
      <top style="thin"/>
      <bottom style="thin"/>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double"/>
      <right style="thin"/>
      <top style="double"/>
      <bottom style="thin"/>
    </border>
    <border>
      <left style="thin"/>
      <right style="double"/>
      <top style="thin"/>
      <bottom style="thin"/>
    </border>
    <border>
      <left style="double"/>
      <right style="thin"/>
      <top style="thin"/>
      <bottom style="double"/>
    </border>
    <border>
      <left style="thin"/>
      <right style="double"/>
      <top style="thin"/>
      <bottom style="double"/>
    </border>
    <border>
      <left>
        <color indexed="63"/>
      </left>
      <right style="double"/>
      <top style="double"/>
      <bottom style="thin"/>
    </border>
    <border>
      <left>
        <color indexed="63"/>
      </left>
      <right style="double"/>
      <top style="thin"/>
      <bottom style="double"/>
    </border>
    <border>
      <left style="thin"/>
      <right style="double"/>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thin"/>
      <bottom style="thin"/>
    </border>
    <border>
      <left>
        <color indexed="63"/>
      </left>
      <right style="double"/>
      <top style="double"/>
      <bottom style="double"/>
    </border>
    <border>
      <left style="thin"/>
      <right>
        <color indexed="63"/>
      </right>
      <top style="thin"/>
      <bottom style="thin"/>
    </border>
    <border>
      <left style="thin"/>
      <right>
        <color indexed="63"/>
      </right>
      <top style="thin"/>
      <bottom>
        <color indexed="63"/>
      </bottom>
    </border>
    <border>
      <left style="double"/>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style="thin"/>
      <right style="double"/>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color indexed="63"/>
      </top>
      <bottom style="thin"/>
    </border>
    <border>
      <left style="thin"/>
      <right style="double"/>
      <top>
        <color indexed="63"/>
      </top>
      <bottom style="thin"/>
    </border>
    <border>
      <left>
        <color indexed="63"/>
      </left>
      <right>
        <color indexed="63"/>
      </right>
      <top style="double"/>
      <bottom style="thin"/>
    </border>
    <border>
      <left>
        <color indexed="63"/>
      </left>
      <right>
        <color indexed="63"/>
      </right>
      <top style="thin"/>
      <bottom style="thin"/>
    </border>
    <border>
      <left style="thin"/>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6">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2" borderId="2" xfId="0" applyFont="1" applyFill="1" applyBorder="1" applyAlignment="1">
      <alignment/>
    </xf>
    <xf numFmtId="0" fontId="1" fillId="2" borderId="3" xfId="0" applyFont="1" applyFill="1" applyBorder="1" applyAlignment="1">
      <alignment/>
    </xf>
    <xf numFmtId="0" fontId="1" fillId="2" borderId="4" xfId="0" applyFont="1" applyFill="1" applyBorder="1" applyAlignment="1">
      <alignment/>
    </xf>
    <xf numFmtId="0" fontId="1" fillId="2" borderId="0" xfId="0" applyFont="1" applyFill="1" applyBorder="1" applyAlignment="1">
      <alignment/>
    </xf>
    <xf numFmtId="0" fontId="1" fillId="2" borderId="5" xfId="0" applyFont="1" applyFill="1" applyBorder="1" applyAlignment="1">
      <alignment/>
    </xf>
    <xf numFmtId="0" fontId="1" fillId="2" borderId="0" xfId="0" applyFont="1" applyFill="1" applyBorder="1" applyAlignment="1">
      <alignment horizontal="center"/>
    </xf>
    <xf numFmtId="0" fontId="1" fillId="0" borderId="0" xfId="0" applyFont="1" applyFill="1" applyAlignment="1">
      <alignment/>
    </xf>
    <xf numFmtId="0" fontId="1" fillId="2" borderId="0" xfId="0" applyFont="1" applyFill="1" applyBorder="1" applyAlignment="1" applyProtection="1">
      <alignment horizontal="center"/>
      <protection locked="0"/>
    </xf>
    <xf numFmtId="0" fontId="1" fillId="3" borderId="6" xfId="0" applyFont="1" applyFill="1" applyBorder="1" applyAlignment="1">
      <alignment/>
    </xf>
    <xf numFmtId="0" fontId="1" fillId="2" borderId="6" xfId="0" applyFont="1" applyFill="1" applyBorder="1" applyAlignment="1">
      <alignment horizontal="center"/>
    </xf>
    <xf numFmtId="0" fontId="1" fillId="3" borderId="6" xfId="0" applyFont="1" applyFill="1" applyBorder="1" applyAlignment="1">
      <alignment horizontal="center"/>
    </xf>
    <xf numFmtId="0" fontId="1" fillId="2" borderId="7" xfId="0" applyFont="1" applyFill="1" applyBorder="1" applyAlignment="1">
      <alignment/>
    </xf>
    <xf numFmtId="0" fontId="1" fillId="2" borderId="8" xfId="0" applyFont="1" applyFill="1" applyBorder="1" applyAlignment="1">
      <alignment/>
    </xf>
    <xf numFmtId="0" fontId="1" fillId="2" borderId="8" xfId="0" applyFont="1" applyFill="1" applyBorder="1" applyAlignment="1">
      <alignment horizontal="left"/>
    </xf>
    <xf numFmtId="0" fontId="1" fillId="2" borderId="9" xfId="0" applyFont="1" applyFill="1" applyBorder="1" applyAlignment="1">
      <alignment/>
    </xf>
    <xf numFmtId="0" fontId="1" fillId="0" borderId="0" xfId="0" applyFont="1" applyFill="1" applyAlignment="1">
      <alignment horizontal="center"/>
    </xf>
    <xf numFmtId="0" fontId="4" fillId="0" borderId="0" xfId="0" applyFont="1" applyAlignment="1">
      <alignment/>
    </xf>
    <xf numFmtId="0" fontId="4" fillId="2" borderId="0" xfId="0" applyFont="1" applyFill="1" applyBorder="1" applyAlignment="1">
      <alignment horizontal="right"/>
    </xf>
    <xf numFmtId="2" fontId="4" fillId="0" borderId="10" xfId="0" applyNumberFormat="1" applyFont="1" applyBorder="1" applyAlignment="1">
      <alignment horizontal="center"/>
    </xf>
    <xf numFmtId="0" fontId="4" fillId="4" borderId="6" xfId="0" applyFont="1" applyFill="1" applyBorder="1" applyAlignment="1">
      <alignment horizontal="center"/>
    </xf>
    <xf numFmtId="0" fontId="4" fillId="5" borderId="6" xfId="0" applyFont="1" applyFill="1" applyBorder="1" applyAlignment="1">
      <alignment horizontal="center"/>
    </xf>
    <xf numFmtId="0" fontId="4" fillId="6" borderId="6" xfId="0" applyFont="1" applyFill="1" applyBorder="1" applyAlignment="1">
      <alignment horizontal="center"/>
    </xf>
    <xf numFmtId="0" fontId="4" fillId="7" borderId="6" xfId="0" applyFont="1" applyFill="1" applyBorder="1" applyAlignment="1">
      <alignment horizontal="center"/>
    </xf>
    <xf numFmtId="0" fontId="4" fillId="5" borderId="11" xfId="0" applyFont="1" applyFill="1" applyBorder="1" applyAlignment="1">
      <alignment horizontal="right"/>
    </xf>
    <xf numFmtId="0" fontId="4" fillId="4" borderId="11" xfId="0" applyFont="1" applyFill="1" applyBorder="1" applyAlignment="1">
      <alignment horizontal="right"/>
    </xf>
    <xf numFmtId="0" fontId="4" fillId="6" borderId="11" xfId="0" applyFont="1" applyFill="1" applyBorder="1" applyAlignment="1">
      <alignment horizontal="right"/>
    </xf>
    <xf numFmtId="0" fontId="4" fillId="7" borderId="11" xfId="0" applyFont="1" applyFill="1" applyBorder="1" applyAlignment="1">
      <alignment horizontal="right"/>
    </xf>
    <xf numFmtId="0" fontId="4" fillId="5" borderId="12" xfId="0" applyFont="1" applyFill="1" applyBorder="1" applyAlignment="1">
      <alignment horizontal="right"/>
    </xf>
    <xf numFmtId="0" fontId="4" fillId="4" borderId="13" xfId="0" applyFont="1" applyFill="1" applyBorder="1" applyAlignment="1">
      <alignment horizontal="right"/>
    </xf>
    <xf numFmtId="0" fontId="4" fillId="6" borderId="13" xfId="0" applyFont="1" applyFill="1" applyBorder="1" applyAlignment="1">
      <alignment horizontal="right"/>
    </xf>
    <xf numFmtId="0" fontId="4" fillId="7" borderId="14" xfId="0" applyFont="1" applyFill="1" applyBorder="1" applyAlignment="1">
      <alignment horizontal="right"/>
    </xf>
    <xf numFmtId="0" fontId="4" fillId="2" borderId="0" xfId="0" applyFont="1" applyFill="1" applyAlignment="1">
      <alignment/>
    </xf>
    <xf numFmtId="0" fontId="0" fillId="2" borderId="0" xfId="0" applyFont="1" applyFill="1" applyAlignment="1">
      <alignment horizontal="center"/>
    </xf>
    <xf numFmtId="3" fontId="6" fillId="2" borderId="0" xfId="0" applyNumberFormat="1" applyFont="1" applyFill="1" applyAlignment="1">
      <alignment horizontal="center"/>
    </xf>
    <xf numFmtId="0" fontId="4" fillId="0" borderId="15" xfId="0" applyFont="1" applyFill="1" applyBorder="1" applyAlignment="1">
      <alignment horizontal="right"/>
    </xf>
    <xf numFmtId="3" fontId="4" fillId="8" borderId="16" xfId="0" applyNumberFormat="1" applyFont="1" applyFill="1" applyBorder="1" applyAlignment="1" applyProtection="1">
      <alignment horizontal="center"/>
      <protection locked="0"/>
    </xf>
    <xf numFmtId="165" fontId="4" fillId="8" borderId="16" xfId="0" applyNumberFormat="1" applyFont="1" applyFill="1" applyBorder="1" applyAlignment="1" applyProtection="1">
      <alignment horizontal="center"/>
      <protection locked="0"/>
    </xf>
    <xf numFmtId="167" fontId="4" fillId="8" borderId="16" xfId="0" applyNumberFormat="1" applyFont="1" applyFill="1" applyBorder="1" applyAlignment="1" applyProtection="1">
      <alignment horizontal="center"/>
      <protection locked="0"/>
    </xf>
    <xf numFmtId="164" fontId="4" fillId="8" borderId="16" xfId="0" applyNumberFormat="1" applyFont="1" applyFill="1" applyBorder="1" applyAlignment="1" applyProtection="1">
      <alignment horizontal="center"/>
      <protection locked="0"/>
    </xf>
    <xf numFmtId="0" fontId="4" fillId="6" borderId="17" xfId="0" applyFont="1" applyFill="1" applyBorder="1" applyAlignment="1">
      <alignment horizontal="right"/>
    </xf>
    <xf numFmtId="3" fontId="4" fillId="8" borderId="18" xfId="0" applyNumberFormat="1" applyFont="1" applyFill="1" applyBorder="1" applyAlignment="1" applyProtection="1">
      <alignment horizontal="center"/>
      <protection locked="0"/>
    </xf>
    <xf numFmtId="0" fontId="4" fillId="2" borderId="0" xfId="0" applyFont="1" applyFill="1" applyAlignment="1">
      <alignment horizontal="right"/>
    </xf>
    <xf numFmtId="165" fontId="4" fillId="8" borderId="19" xfId="0" applyNumberFormat="1" applyFont="1" applyFill="1" applyBorder="1" applyAlignment="1" applyProtection="1">
      <alignment/>
      <protection locked="0"/>
    </xf>
    <xf numFmtId="165" fontId="4" fillId="8" borderId="20" xfId="0" applyNumberFormat="1" applyFont="1" applyFill="1" applyBorder="1" applyAlignment="1" applyProtection="1">
      <alignment/>
      <protection locked="0"/>
    </xf>
    <xf numFmtId="0" fontId="4" fillId="0" borderId="15" xfId="0" applyFont="1" applyBorder="1" applyAlignment="1">
      <alignment/>
    </xf>
    <xf numFmtId="0" fontId="7" fillId="2" borderId="21" xfId="0" applyFont="1" applyFill="1" applyBorder="1" applyAlignment="1">
      <alignment horizontal="right"/>
    </xf>
    <xf numFmtId="2" fontId="4" fillId="8" borderId="18" xfId="0" applyNumberFormat="1" applyFont="1" applyFill="1" applyBorder="1" applyAlignment="1" applyProtection="1">
      <alignment horizontal="center"/>
      <protection locked="0"/>
    </xf>
    <xf numFmtId="0" fontId="4" fillId="4" borderId="12" xfId="0" applyFont="1" applyFill="1" applyBorder="1" applyAlignment="1">
      <alignment horizontal="right"/>
    </xf>
    <xf numFmtId="3" fontId="4" fillId="8" borderId="19" xfId="0" applyNumberFormat="1" applyFont="1" applyFill="1" applyBorder="1" applyAlignment="1" applyProtection="1">
      <alignment horizontal="center"/>
      <protection locked="0"/>
    </xf>
    <xf numFmtId="0" fontId="4" fillId="2" borderId="0" xfId="0" applyFont="1" applyFill="1" applyAlignment="1">
      <alignment horizontal="center"/>
    </xf>
    <xf numFmtId="0" fontId="4" fillId="2" borderId="1" xfId="0" applyFont="1" applyFill="1" applyBorder="1" applyAlignment="1">
      <alignment/>
    </xf>
    <xf numFmtId="0" fontId="4" fillId="2" borderId="2" xfId="0" applyFont="1" applyFill="1" applyBorder="1" applyAlignment="1">
      <alignment/>
    </xf>
    <xf numFmtId="0" fontId="4" fillId="2" borderId="2" xfId="0" applyFont="1" applyFill="1" applyBorder="1" applyAlignment="1">
      <alignment horizontal="right"/>
    </xf>
    <xf numFmtId="165" fontId="4" fillId="2" borderId="3" xfId="0" applyNumberFormat="1" applyFont="1" applyFill="1" applyBorder="1" applyAlignment="1">
      <alignment/>
    </xf>
    <xf numFmtId="0" fontId="4" fillId="2" borderId="4" xfId="0" applyFont="1" applyFill="1" applyBorder="1" applyAlignment="1">
      <alignment/>
    </xf>
    <xf numFmtId="0" fontId="4" fillId="2" borderId="0" xfId="0" applyFont="1" applyFill="1" applyBorder="1" applyAlignment="1">
      <alignment/>
    </xf>
    <xf numFmtId="166" fontId="4" fillId="2" borderId="5" xfId="0" applyNumberFormat="1" applyFont="1" applyFill="1" applyBorder="1" applyAlignment="1">
      <alignment/>
    </xf>
    <xf numFmtId="165" fontId="4" fillId="2" borderId="5" xfId="0" applyNumberFormat="1" applyFont="1" applyFill="1" applyBorder="1" applyAlignment="1">
      <alignment/>
    </xf>
    <xf numFmtId="0" fontId="4" fillId="2" borderId="7" xfId="0" applyFont="1" applyFill="1" applyBorder="1" applyAlignment="1">
      <alignment/>
    </xf>
    <xf numFmtId="0" fontId="4" fillId="2" borderId="8" xfId="0" applyFont="1" applyFill="1" applyBorder="1" applyAlignment="1">
      <alignment/>
    </xf>
    <xf numFmtId="0" fontId="4" fillId="2" borderId="8" xfId="0" applyFont="1" applyFill="1" applyBorder="1" applyAlignment="1">
      <alignment horizontal="right"/>
    </xf>
    <xf numFmtId="165" fontId="4" fillId="2" borderId="9" xfId="0" applyNumberFormat="1" applyFont="1" applyFill="1" applyBorder="1" applyAlignment="1">
      <alignment/>
    </xf>
    <xf numFmtId="0" fontId="4" fillId="5" borderId="22" xfId="0" applyFont="1" applyFill="1" applyBorder="1" applyAlignment="1">
      <alignment horizontal="right"/>
    </xf>
    <xf numFmtId="0" fontId="4" fillId="2" borderId="23" xfId="0" applyFont="1" applyFill="1" applyBorder="1" applyAlignment="1">
      <alignment horizontal="right"/>
    </xf>
    <xf numFmtId="0" fontId="4" fillId="6" borderId="14" xfId="0" applyFont="1" applyFill="1" applyBorder="1" applyAlignment="1">
      <alignment horizontal="right"/>
    </xf>
    <xf numFmtId="0" fontId="4" fillId="2" borderId="5" xfId="0" applyFont="1" applyFill="1" applyBorder="1" applyAlignment="1">
      <alignment/>
    </xf>
    <xf numFmtId="0" fontId="4" fillId="0" borderId="14" xfId="0" applyFont="1" applyBorder="1" applyAlignment="1">
      <alignment/>
    </xf>
    <xf numFmtId="0" fontId="7" fillId="2" borderId="20" xfId="0" applyFont="1" applyFill="1" applyBorder="1" applyAlignment="1">
      <alignment horizontal="right"/>
    </xf>
    <xf numFmtId="2" fontId="4" fillId="4" borderId="19" xfId="0" applyNumberFormat="1" applyFont="1" applyFill="1" applyBorder="1" applyAlignment="1">
      <alignment horizontal="center"/>
    </xf>
    <xf numFmtId="2" fontId="4" fillId="5" borderId="24" xfId="0" applyNumberFormat="1" applyFont="1" applyFill="1" applyBorder="1" applyAlignment="1">
      <alignment horizontal="center"/>
    </xf>
    <xf numFmtId="0" fontId="1" fillId="8" borderId="6" xfId="0" applyFont="1" applyFill="1" applyBorder="1" applyAlignment="1" applyProtection="1">
      <alignment horizontal="center"/>
      <protection locked="0"/>
    </xf>
    <xf numFmtId="0" fontId="6" fillId="0" borderId="0" xfId="0" applyFont="1" applyAlignment="1">
      <alignment/>
    </xf>
    <xf numFmtId="165" fontId="6" fillId="0" borderId="0" xfId="0" applyNumberFormat="1" applyFont="1" applyAlignment="1">
      <alignment/>
    </xf>
    <xf numFmtId="0" fontId="6" fillId="2" borderId="0" xfId="0" applyFont="1" applyFill="1" applyAlignment="1">
      <alignment horizontal="center"/>
    </xf>
    <xf numFmtId="0" fontId="6" fillId="2" borderId="0" xfId="0" applyFont="1" applyFill="1" applyAlignment="1">
      <alignment/>
    </xf>
    <xf numFmtId="165" fontId="6" fillId="2" borderId="0" xfId="0" applyNumberFormat="1" applyFont="1" applyFill="1" applyAlignment="1">
      <alignment/>
    </xf>
    <xf numFmtId="0" fontId="6" fillId="2" borderId="0" xfId="0" applyFont="1" applyFill="1" applyAlignment="1">
      <alignment horizontal="right"/>
    </xf>
    <xf numFmtId="165" fontId="6" fillId="8" borderId="6" xfId="0" applyNumberFormat="1" applyFont="1" applyFill="1" applyBorder="1" applyAlignment="1" applyProtection="1">
      <alignment/>
      <protection locked="0"/>
    </xf>
    <xf numFmtId="0" fontId="6" fillId="8" borderId="6" xfId="0" applyFont="1" applyFill="1" applyBorder="1" applyAlignment="1" applyProtection="1">
      <alignment horizontal="center"/>
      <protection locked="0"/>
    </xf>
    <xf numFmtId="0" fontId="6" fillId="8" borderId="6" xfId="0" applyFont="1" applyFill="1" applyBorder="1" applyAlignment="1" applyProtection="1">
      <alignment/>
      <protection locked="0"/>
    </xf>
    <xf numFmtId="0" fontId="6" fillId="2" borderId="0" xfId="0" applyFont="1" applyFill="1" applyBorder="1" applyAlignment="1">
      <alignment/>
    </xf>
    <xf numFmtId="0" fontId="4" fillId="2" borderId="0" xfId="0" applyFont="1" applyFill="1" applyBorder="1" applyAlignment="1">
      <alignment horizontal="center"/>
    </xf>
    <xf numFmtId="0" fontId="1" fillId="2" borderId="0" xfId="0" applyFont="1" applyFill="1" applyAlignment="1">
      <alignment/>
    </xf>
    <xf numFmtId="169" fontId="1" fillId="2" borderId="6" xfId="0" applyNumberFormat="1" applyFont="1" applyFill="1" applyBorder="1" applyAlignment="1">
      <alignment horizontal="center"/>
    </xf>
    <xf numFmtId="169" fontId="1" fillId="2" borderId="6" xfId="0" applyNumberFormat="1" applyFont="1" applyFill="1" applyBorder="1" applyAlignment="1">
      <alignment/>
    </xf>
    <xf numFmtId="0" fontId="1" fillId="8" borderId="6" xfId="0" applyFont="1" applyFill="1" applyBorder="1" applyAlignment="1" applyProtection="1">
      <alignment/>
      <protection locked="0"/>
    </xf>
    <xf numFmtId="0" fontId="4" fillId="2" borderId="0" xfId="0" applyFont="1" applyFill="1" applyAlignment="1" applyProtection="1">
      <alignment/>
      <protection/>
    </xf>
    <xf numFmtId="0" fontId="4" fillId="2" borderId="0" xfId="0" applyFont="1" applyFill="1" applyBorder="1" applyAlignment="1" applyProtection="1">
      <alignment/>
      <protection/>
    </xf>
    <xf numFmtId="3" fontId="4" fillId="2" borderId="0" xfId="0" applyNumberFormat="1" applyFont="1" applyFill="1" applyBorder="1" applyAlignment="1" applyProtection="1">
      <alignment horizontal="right"/>
      <protection/>
    </xf>
    <xf numFmtId="165" fontId="4" fillId="2" borderId="0" xfId="0" applyNumberFormat="1" applyFont="1" applyFill="1" applyBorder="1" applyAlignment="1" applyProtection="1">
      <alignment horizontal="right"/>
      <protection/>
    </xf>
    <xf numFmtId="165" fontId="4" fillId="2" borderId="0" xfId="0" applyNumberFormat="1" applyFont="1" applyFill="1" applyBorder="1" applyAlignment="1" applyProtection="1">
      <alignment/>
      <protection/>
    </xf>
    <xf numFmtId="167" fontId="4" fillId="2" borderId="0" xfId="0" applyNumberFormat="1" applyFont="1" applyFill="1" applyBorder="1" applyAlignment="1" applyProtection="1">
      <alignment horizontal="right"/>
      <protection/>
    </xf>
    <xf numFmtId="3" fontId="4" fillId="2" borderId="0" xfId="0" applyNumberFormat="1" applyFont="1" applyFill="1" applyBorder="1" applyAlignment="1" applyProtection="1">
      <alignment/>
      <protection/>
    </xf>
    <xf numFmtId="0" fontId="0" fillId="2" borderId="0" xfId="0" applyFont="1" applyFill="1" applyAlignment="1" applyProtection="1">
      <alignment horizontal="center"/>
      <protection/>
    </xf>
    <xf numFmtId="3" fontId="6" fillId="2" borderId="0" xfId="0" applyNumberFormat="1" applyFont="1" applyFill="1" applyAlignment="1" applyProtection="1">
      <alignment horizontal="center"/>
      <protection/>
    </xf>
    <xf numFmtId="3" fontId="6" fillId="2" borderId="0" xfId="0" applyNumberFormat="1" applyFont="1" applyFill="1" applyBorder="1" applyAlignment="1" applyProtection="1">
      <alignment horizontal="center"/>
      <protection/>
    </xf>
    <xf numFmtId="165" fontId="6" fillId="2" borderId="0" xfId="0" applyNumberFormat="1" applyFont="1" applyFill="1" applyBorder="1" applyAlignment="1" applyProtection="1">
      <alignment horizontal="center"/>
      <protection/>
    </xf>
    <xf numFmtId="168" fontId="6" fillId="2" borderId="0" xfId="0" applyNumberFormat="1" applyFont="1" applyFill="1" applyBorder="1" applyAlignment="1" applyProtection="1">
      <alignment horizontal="center"/>
      <protection/>
    </xf>
    <xf numFmtId="165" fontId="6" fillId="2" borderId="0" xfId="0" applyNumberFormat="1" applyFont="1" applyFill="1" applyAlignment="1" applyProtection="1">
      <alignment horizontal="center"/>
      <protection/>
    </xf>
    <xf numFmtId="164" fontId="6" fillId="2" borderId="0" xfId="0" applyNumberFormat="1" applyFont="1" applyFill="1" applyBorder="1" applyAlignment="1" applyProtection="1">
      <alignment horizontal="center"/>
      <protection/>
    </xf>
    <xf numFmtId="1" fontId="6" fillId="2" borderId="0" xfId="0" applyNumberFormat="1" applyFont="1" applyFill="1" applyAlignment="1" applyProtection="1">
      <alignment horizontal="center"/>
      <protection/>
    </xf>
    <xf numFmtId="3" fontId="4" fillId="2" borderId="0" xfId="0" applyNumberFormat="1" applyFont="1" applyFill="1" applyBorder="1" applyAlignment="1" applyProtection="1">
      <alignment horizontal="center"/>
      <protection/>
    </xf>
    <xf numFmtId="2" fontId="4" fillId="5" borderId="25" xfId="0" applyNumberFormat="1" applyFont="1" applyFill="1" applyBorder="1" applyAlignment="1" applyProtection="1">
      <alignment/>
      <protection/>
    </xf>
    <xf numFmtId="2" fontId="4" fillId="2" borderId="23" xfId="0" applyNumberFormat="1" applyFont="1" applyFill="1" applyBorder="1" applyAlignment="1" applyProtection="1">
      <alignment/>
      <protection/>
    </xf>
    <xf numFmtId="165" fontId="4" fillId="4" borderId="24" xfId="0" applyNumberFormat="1" applyFont="1" applyFill="1" applyBorder="1" applyAlignment="1" applyProtection="1">
      <alignment/>
      <protection/>
    </xf>
    <xf numFmtId="165" fontId="4" fillId="5" borderId="19" xfId="0" applyNumberFormat="1" applyFont="1" applyFill="1" applyBorder="1" applyAlignment="1" applyProtection="1">
      <alignment/>
      <protection/>
    </xf>
    <xf numFmtId="165" fontId="4" fillId="7" borderId="20" xfId="0" applyNumberFormat="1" applyFont="1" applyFill="1" applyBorder="1" applyAlignment="1" applyProtection="1">
      <alignment/>
      <protection/>
    </xf>
    <xf numFmtId="165" fontId="4" fillId="6" borderId="24" xfId="0" applyNumberFormat="1" applyFont="1" applyFill="1" applyBorder="1" applyAlignment="1" applyProtection="1">
      <alignment/>
      <protection/>
    </xf>
    <xf numFmtId="165" fontId="4" fillId="2" borderId="23" xfId="0" applyNumberFormat="1" applyFont="1" applyFill="1" applyBorder="1" applyAlignment="1" applyProtection="1">
      <alignment/>
      <protection/>
    </xf>
    <xf numFmtId="166" fontId="4" fillId="4" borderId="19" xfId="0" applyNumberFormat="1" applyFont="1" applyFill="1" applyBorder="1" applyAlignment="1" applyProtection="1">
      <alignment/>
      <protection/>
    </xf>
    <xf numFmtId="166" fontId="4" fillId="5" borderId="19" xfId="0" applyNumberFormat="1" applyFont="1" applyFill="1" applyBorder="1" applyAlignment="1" applyProtection="1">
      <alignment/>
      <protection/>
    </xf>
    <xf numFmtId="166" fontId="4" fillId="7" borderId="20" xfId="0" applyNumberFormat="1" applyFont="1" applyFill="1" applyBorder="1" applyAlignment="1" applyProtection="1">
      <alignment/>
      <protection/>
    </xf>
    <xf numFmtId="166" fontId="4" fillId="6" borderId="20" xfId="0" applyNumberFormat="1" applyFont="1" applyFill="1" applyBorder="1" applyAlignment="1" applyProtection="1">
      <alignment/>
      <protection/>
    </xf>
    <xf numFmtId="0" fontId="4" fillId="2" borderId="6" xfId="0" applyFont="1" applyFill="1" applyBorder="1" applyAlignment="1">
      <alignment horizontal="right"/>
    </xf>
    <xf numFmtId="165" fontId="4" fillId="2" borderId="6" xfId="0" applyNumberFormat="1" applyFont="1" applyFill="1" applyBorder="1" applyAlignment="1">
      <alignment/>
    </xf>
    <xf numFmtId="0" fontId="6" fillId="2" borderId="6" xfId="0" applyFont="1" applyFill="1" applyBorder="1" applyAlignment="1">
      <alignment horizontal="right"/>
    </xf>
    <xf numFmtId="165" fontId="6" fillId="2" borderId="6" xfId="0" applyNumberFormat="1" applyFont="1" applyFill="1" applyBorder="1" applyAlignment="1">
      <alignment/>
    </xf>
    <xf numFmtId="8" fontId="6" fillId="2" borderId="6" xfId="0" applyNumberFormat="1" applyFont="1" applyFill="1" applyBorder="1" applyAlignment="1">
      <alignment/>
    </xf>
    <xf numFmtId="164" fontId="4" fillId="2" borderId="10" xfId="0" applyNumberFormat="1" applyFont="1" applyFill="1" applyBorder="1" applyAlignment="1">
      <alignment/>
    </xf>
    <xf numFmtId="0" fontId="4" fillId="0" borderId="4" xfId="0" applyFont="1" applyBorder="1" applyAlignment="1">
      <alignment/>
    </xf>
    <xf numFmtId="0" fontId="4" fillId="0" borderId="0" xfId="0" applyFont="1" applyBorder="1" applyAlignment="1">
      <alignment/>
    </xf>
    <xf numFmtId="165" fontId="4" fillId="8" borderId="6" xfId="0" applyNumberFormat="1" applyFont="1" applyFill="1" applyBorder="1" applyAlignment="1" applyProtection="1">
      <alignment horizontal="center"/>
      <protection locked="0"/>
    </xf>
    <xf numFmtId="0" fontId="6" fillId="2" borderId="0" xfId="0" applyFont="1" applyFill="1" applyBorder="1" applyAlignment="1">
      <alignment horizontal="right"/>
    </xf>
    <xf numFmtId="0" fontId="12" fillId="2" borderId="0" xfId="0" applyFont="1" applyFill="1" applyAlignment="1">
      <alignment/>
    </xf>
    <xf numFmtId="0" fontId="12" fillId="0" borderId="0" xfId="0" applyFont="1" applyAlignment="1">
      <alignment/>
    </xf>
    <xf numFmtId="0" fontId="12" fillId="2" borderId="0" xfId="0" applyFont="1" applyFill="1" applyBorder="1" applyAlignment="1">
      <alignment horizontal="center"/>
    </xf>
    <xf numFmtId="0" fontId="12" fillId="0" borderId="0" xfId="0" applyFont="1" applyFill="1" applyAlignment="1">
      <alignment/>
    </xf>
    <xf numFmtId="0" fontId="0" fillId="2" borderId="0" xfId="0" applyFill="1" applyBorder="1" applyAlignment="1">
      <alignment horizontal="left" vertical="center" wrapText="1"/>
    </xf>
    <xf numFmtId="0" fontId="12" fillId="2" borderId="0" xfId="0" applyFont="1" applyFill="1" applyBorder="1" applyAlignment="1">
      <alignment/>
    </xf>
    <xf numFmtId="0" fontId="12" fillId="2" borderId="0" xfId="0" applyFont="1" applyFill="1" applyBorder="1" applyAlignment="1">
      <alignment horizontal="left"/>
    </xf>
    <xf numFmtId="0" fontId="12" fillId="2" borderId="0" xfId="0" applyFont="1" applyFill="1" applyBorder="1" applyAlignment="1">
      <alignment horizontal="left" vertical="top" wrapText="1"/>
    </xf>
    <xf numFmtId="0" fontId="1" fillId="2" borderId="26" xfId="0" applyFont="1" applyFill="1" applyBorder="1" applyAlignment="1">
      <alignment horizontal="right"/>
    </xf>
    <xf numFmtId="0" fontId="12" fillId="2" borderId="0" xfId="0" applyFont="1" applyFill="1" applyBorder="1" applyAlignment="1">
      <alignment horizontal="right"/>
    </xf>
    <xf numFmtId="0" fontId="12" fillId="2" borderId="0" xfId="0" applyFont="1" applyFill="1" applyBorder="1" applyAlignment="1">
      <alignment horizontal="left" vertical="center" wrapText="1"/>
    </xf>
    <xf numFmtId="0" fontId="12" fillId="0" borderId="0" xfId="0" applyFont="1" applyBorder="1" applyAlignment="1">
      <alignment/>
    </xf>
    <xf numFmtId="14" fontId="12"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left" vertical="top"/>
    </xf>
    <xf numFmtId="0" fontId="13" fillId="2" borderId="0" xfId="0" applyFont="1" applyFill="1" applyBorder="1" applyAlignment="1">
      <alignment horizontal="center"/>
    </xf>
    <xf numFmtId="0" fontId="12" fillId="2" borderId="0" xfId="0" applyFont="1" applyFill="1" applyBorder="1" applyAlignment="1">
      <alignment/>
    </xf>
    <xf numFmtId="0" fontId="1" fillId="2" borderId="0" xfId="0" applyFont="1" applyFill="1" applyBorder="1" applyAlignment="1">
      <alignment horizontal="center" wrapText="1"/>
    </xf>
    <xf numFmtId="0" fontId="0" fillId="2" borderId="0" xfId="0" applyFill="1" applyBorder="1" applyAlignment="1" applyProtection="1">
      <alignment horizontal="center"/>
      <protection locked="0"/>
    </xf>
    <xf numFmtId="0" fontId="6" fillId="0" borderId="6" xfId="0" applyFont="1" applyBorder="1" applyAlignment="1">
      <alignment horizontal="right"/>
    </xf>
    <xf numFmtId="165" fontId="6" fillId="0" borderId="6" xfId="0" applyNumberFormat="1" applyFont="1" applyFill="1" applyBorder="1" applyAlignment="1">
      <alignment/>
    </xf>
    <xf numFmtId="0" fontId="6" fillId="7" borderId="6" xfId="0" applyFont="1" applyFill="1" applyBorder="1" applyAlignment="1">
      <alignment horizontal="right"/>
    </xf>
    <xf numFmtId="0" fontId="6" fillId="6" borderId="6" xfId="0" applyFont="1" applyFill="1" applyBorder="1" applyAlignment="1">
      <alignment horizontal="right"/>
    </xf>
    <xf numFmtId="0" fontId="6" fillId="5" borderId="6" xfId="0" applyFont="1" applyFill="1" applyBorder="1" applyAlignment="1">
      <alignment horizontal="right"/>
    </xf>
    <xf numFmtId="0" fontId="1" fillId="2" borderId="27" xfId="0" applyFont="1" applyFill="1" applyBorder="1" applyAlignment="1">
      <alignment horizontal="right"/>
    </xf>
    <xf numFmtId="0" fontId="12" fillId="2" borderId="28" xfId="0" applyFont="1" applyFill="1" applyBorder="1" applyAlignment="1">
      <alignment horizontal="center"/>
    </xf>
    <xf numFmtId="0" fontId="12" fillId="2" borderId="29" xfId="0" applyFont="1" applyFill="1" applyBorder="1" applyAlignment="1">
      <alignment horizontal="center"/>
    </xf>
    <xf numFmtId="0" fontId="12" fillId="8" borderId="28" xfId="0" applyFont="1" applyFill="1" applyBorder="1" applyAlignment="1" applyProtection="1">
      <alignment horizontal="center"/>
      <protection locked="0"/>
    </xf>
    <xf numFmtId="0" fontId="0" fillId="8" borderId="29" xfId="0" applyFill="1" applyBorder="1" applyAlignment="1" applyProtection="1">
      <alignment horizontal="center"/>
      <protection locked="0"/>
    </xf>
    <xf numFmtId="0" fontId="0" fillId="2" borderId="30" xfId="0" applyFill="1" applyBorder="1" applyAlignment="1">
      <alignment horizontal="left"/>
    </xf>
    <xf numFmtId="0" fontId="0" fillId="2" borderId="31" xfId="0" applyFill="1" applyBorder="1" applyAlignment="1">
      <alignment horizontal="left"/>
    </xf>
    <xf numFmtId="0" fontId="0" fillId="8" borderId="28" xfId="0" applyFill="1" applyBorder="1" applyAlignment="1" applyProtection="1">
      <alignment horizontal="center"/>
      <protection locked="0"/>
    </xf>
    <xf numFmtId="0" fontId="15" fillId="0" borderId="0" xfId="0" applyFont="1" applyAlignment="1">
      <alignment/>
    </xf>
    <xf numFmtId="0" fontId="13" fillId="7" borderId="0" xfId="0" applyFont="1" applyFill="1" applyBorder="1" applyAlignment="1">
      <alignment horizontal="center"/>
    </xf>
    <xf numFmtId="14" fontId="17" fillId="8" borderId="32" xfId="0" applyNumberFormat="1" applyFont="1" applyFill="1" applyBorder="1" applyAlignment="1" applyProtection="1">
      <alignment horizontal="center"/>
      <protection locked="0"/>
    </xf>
    <xf numFmtId="0" fontId="4" fillId="9" borderId="0" xfId="0" applyFont="1" applyFill="1" applyBorder="1" applyAlignment="1">
      <alignment horizontal="center"/>
    </xf>
    <xf numFmtId="0" fontId="18" fillId="2" borderId="0" xfId="0" applyFont="1" applyFill="1" applyBorder="1" applyAlignment="1">
      <alignment horizontal="center"/>
    </xf>
    <xf numFmtId="14" fontId="13" fillId="7" borderId="0" xfId="0" applyNumberFormat="1" applyFont="1" applyFill="1" applyBorder="1" applyAlignment="1">
      <alignment horizontal="center"/>
    </xf>
    <xf numFmtId="0" fontId="1" fillId="2" borderId="0" xfId="0" applyFont="1" applyFill="1" applyAlignment="1">
      <alignment horizontal="center"/>
    </xf>
    <xf numFmtId="0" fontId="1" fillId="0" borderId="0" xfId="0" applyFont="1" applyAlignment="1">
      <alignment horizontal="center"/>
    </xf>
    <xf numFmtId="0" fontId="19" fillId="2" borderId="0" xfId="0" applyFont="1" applyFill="1" applyAlignment="1">
      <alignment horizontal="center" vertical="center"/>
    </xf>
    <xf numFmtId="0" fontId="1" fillId="2" borderId="2" xfId="0" applyFont="1" applyFill="1" applyBorder="1" applyAlignment="1">
      <alignment horizontal="center"/>
    </xf>
    <xf numFmtId="0" fontId="1" fillId="2" borderId="6" xfId="0" applyFont="1" applyFill="1" applyBorder="1" applyAlignment="1">
      <alignment horizontal="right"/>
    </xf>
    <xf numFmtId="0" fontId="20" fillId="2" borderId="5" xfId="0" applyFont="1" applyFill="1" applyBorder="1" applyAlignment="1">
      <alignment/>
    </xf>
    <xf numFmtId="0" fontId="1" fillId="2" borderId="8" xfId="0" applyFont="1" applyFill="1" applyBorder="1" applyAlignment="1">
      <alignment horizontal="center"/>
    </xf>
    <xf numFmtId="168" fontId="1" fillId="2" borderId="6" xfId="0" applyNumberFormat="1" applyFont="1" applyFill="1" applyBorder="1" applyAlignment="1">
      <alignment horizontal="center"/>
    </xf>
    <xf numFmtId="2" fontId="1" fillId="2" borderId="6" xfId="0" applyNumberFormat="1" applyFont="1" applyFill="1" applyBorder="1" applyAlignment="1">
      <alignment horizontal="center"/>
    </xf>
    <xf numFmtId="172" fontId="1" fillId="2" borderId="6" xfId="0" applyNumberFormat="1" applyFont="1" applyFill="1" applyBorder="1" applyAlignment="1">
      <alignment horizontal="center"/>
    </xf>
    <xf numFmtId="1" fontId="1" fillId="2" borderId="6" xfId="0" applyNumberFormat="1" applyFont="1" applyFill="1" applyBorder="1" applyAlignment="1">
      <alignment horizontal="center"/>
    </xf>
    <xf numFmtId="0" fontId="1" fillId="2" borderId="32" xfId="0" applyFont="1" applyFill="1" applyBorder="1" applyAlignment="1">
      <alignment horizontal="right"/>
    </xf>
    <xf numFmtId="0" fontId="1" fillId="4" borderId="32" xfId="0" applyFont="1" applyFill="1" applyBorder="1" applyAlignment="1">
      <alignment horizontal="right"/>
    </xf>
    <xf numFmtId="0" fontId="1" fillId="5" borderId="32" xfId="0" applyFont="1" applyFill="1" applyBorder="1" applyAlignment="1">
      <alignment horizontal="right"/>
    </xf>
    <xf numFmtId="0" fontId="1" fillId="2" borderId="0" xfId="0" applyFont="1" applyFill="1" applyBorder="1" applyAlignment="1">
      <alignment horizontal="right"/>
    </xf>
    <xf numFmtId="0" fontId="1" fillId="2" borderId="26" xfId="0" applyFont="1" applyFill="1" applyBorder="1" applyAlignment="1">
      <alignment/>
    </xf>
    <xf numFmtId="0" fontId="1" fillId="4" borderId="26" xfId="0" applyFont="1" applyFill="1" applyBorder="1" applyAlignment="1">
      <alignment/>
    </xf>
    <xf numFmtId="0" fontId="1" fillId="5" borderId="26" xfId="0" applyFont="1" applyFill="1" applyBorder="1" applyAlignment="1">
      <alignment/>
    </xf>
    <xf numFmtId="0" fontId="0" fillId="8" borderId="6" xfId="0" applyFill="1" applyBorder="1" applyAlignment="1" applyProtection="1">
      <alignment horizontal="center"/>
      <protection locked="0"/>
    </xf>
    <xf numFmtId="0" fontId="12" fillId="8" borderId="6" xfId="0" applyFont="1" applyFill="1" applyBorder="1" applyAlignment="1" applyProtection="1">
      <alignment horizontal="center"/>
      <protection locked="0"/>
    </xf>
    <xf numFmtId="0" fontId="23" fillId="2" borderId="0" xfId="0" applyFont="1" applyFill="1" applyAlignment="1">
      <alignment vertical="center"/>
    </xf>
    <xf numFmtId="0" fontId="12" fillId="2" borderId="0" xfId="0" applyFont="1" applyFill="1" applyAlignment="1" applyProtection="1">
      <alignment/>
      <protection/>
    </xf>
    <xf numFmtId="0" fontId="17" fillId="2" borderId="0" xfId="0" applyFont="1" applyFill="1" applyAlignment="1" applyProtection="1">
      <alignment/>
      <protection/>
    </xf>
    <xf numFmtId="0" fontId="12" fillId="2" borderId="0" xfId="0" applyFont="1" applyFill="1" applyAlignment="1" applyProtection="1">
      <alignment/>
      <protection/>
    </xf>
    <xf numFmtId="0" fontId="12" fillId="0" borderId="0" xfId="0" applyFont="1" applyAlignment="1" applyProtection="1">
      <alignment/>
      <protection/>
    </xf>
    <xf numFmtId="0" fontId="26" fillId="2" borderId="27" xfId="0" applyFont="1" applyFill="1" applyBorder="1" applyAlignment="1" applyProtection="1">
      <alignment horizontal="right"/>
      <protection/>
    </xf>
    <xf numFmtId="0" fontId="25" fillId="9" borderId="33" xfId="0" applyFont="1" applyFill="1" applyBorder="1" applyAlignment="1" applyProtection="1">
      <alignment horizontal="center"/>
      <protection/>
    </xf>
    <xf numFmtId="0" fontId="26" fillId="2" borderId="33" xfId="0" applyFont="1" applyFill="1" applyBorder="1" applyAlignment="1" applyProtection="1">
      <alignment horizontal="right"/>
      <protection/>
    </xf>
    <xf numFmtId="0" fontId="25" fillId="7" borderId="34" xfId="0" applyFont="1" applyFill="1" applyBorder="1" applyAlignment="1" applyProtection="1">
      <alignment horizontal="center"/>
      <protection/>
    </xf>
    <xf numFmtId="0" fontId="12" fillId="2" borderId="0" xfId="0" applyFont="1" applyFill="1" applyBorder="1" applyAlignment="1" applyProtection="1">
      <alignment horizontal="center"/>
      <protection/>
    </xf>
    <xf numFmtId="0" fontId="12" fillId="2" borderId="0" xfId="0" applyFont="1" applyFill="1" applyBorder="1" applyAlignment="1" applyProtection="1">
      <alignment/>
      <protection/>
    </xf>
    <xf numFmtId="0" fontId="26" fillId="2" borderId="35" xfId="0" applyFont="1" applyFill="1" applyBorder="1" applyAlignment="1" applyProtection="1">
      <alignment horizontal="right"/>
      <protection/>
    </xf>
    <xf numFmtId="0" fontId="25" fillId="7" borderId="0" xfId="0" applyFont="1" applyFill="1" applyBorder="1" applyAlignment="1" applyProtection="1">
      <alignment horizontal="center"/>
      <protection/>
    </xf>
    <xf numFmtId="0" fontId="26" fillId="2" borderId="0" xfId="0" applyFont="1" applyFill="1" applyBorder="1" applyAlignment="1" applyProtection="1">
      <alignment horizontal="right"/>
      <protection/>
    </xf>
    <xf numFmtId="0" fontId="25" fillId="7" borderId="36" xfId="0" applyFont="1" applyFill="1" applyBorder="1" applyAlignment="1" applyProtection="1">
      <alignment horizontal="center"/>
      <protection/>
    </xf>
    <xf numFmtId="0" fontId="12" fillId="2" borderId="0" xfId="0" applyFont="1" applyFill="1" applyBorder="1" applyAlignment="1" applyProtection="1">
      <alignment horizontal="left"/>
      <protection/>
    </xf>
    <xf numFmtId="0" fontId="12" fillId="2" borderId="0" xfId="0" applyFont="1" applyFill="1" applyBorder="1" applyAlignment="1" applyProtection="1">
      <alignment horizontal="left" vertical="top" wrapText="1"/>
      <protection/>
    </xf>
    <xf numFmtId="0" fontId="26" fillId="2" borderId="37" xfId="0" applyFont="1" applyFill="1" applyBorder="1" applyAlignment="1" applyProtection="1">
      <alignment horizontal="right"/>
      <protection/>
    </xf>
    <xf numFmtId="14" fontId="25" fillId="7" borderId="38" xfId="0" applyNumberFormat="1" applyFont="1" applyFill="1" applyBorder="1" applyAlignment="1" applyProtection="1">
      <alignment horizontal="center"/>
      <protection/>
    </xf>
    <xf numFmtId="0" fontId="26" fillId="2" borderId="38" xfId="0" applyFont="1" applyFill="1" applyBorder="1" applyAlignment="1" applyProtection="1">
      <alignment horizontal="right"/>
      <protection/>
    </xf>
    <xf numFmtId="0" fontId="25" fillId="7" borderId="39" xfId="0" applyFont="1" applyFill="1" applyBorder="1" applyAlignment="1" applyProtection="1">
      <alignment horizontal="center"/>
      <protection/>
    </xf>
    <xf numFmtId="0" fontId="0" fillId="2" borderId="0" xfId="0" applyFill="1" applyBorder="1" applyAlignment="1" applyProtection="1">
      <alignment horizontal="left" vertical="center" wrapText="1"/>
      <protection/>
    </xf>
    <xf numFmtId="0" fontId="0" fillId="2" borderId="0" xfId="0" applyFill="1" applyBorder="1" applyAlignment="1" applyProtection="1">
      <alignment horizontal="center"/>
      <protection/>
    </xf>
    <xf numFmtId="0" fontId="12" fillId="2" borderId="6" xfId="0" applyFont="1" applyFill="1" applyBorder="1" applyAlignment="1" applyProtection="1">
      <alignment/>
      <protection/>
    </xf>
    <xf numFmtId="0" fontId="12" fillId="2" borderId="0" xfId="0" applyFont="1" applyFill="1" applyBorder="1" applyAlignment="1" applyProtection="1">
      <alignment horizontal="right"/>
      <protection/>
    </xf>
    <xf numFmtId="0" fontId="13" fillId="2" borderId="0" xfId="0" applyFont="1" applyFill="1" applyBorder="1" applyAlignment="1" applyProtection="1">
      <alignment horizontal="center"/>
      <protection/>
    </xf>
    <xf numFmtId="0" fontId="16" fillId="2" borderId="0" xfId="0" applyFont="1" applyFill="1" applyBorder="1" applyAlignment="1" applyProtection="1">
      <alignment horizontal="center"/>
      <protection/>
    </xf>
    <xf numFmtId="0" fontId="0" fillId="2" borderId="0" xfId="0" applyFill="1" applyBorder="1" applyAlignment="1" applyProtection="1">
      <alignment horizontal="right"/>
      <protection/>
    </xf>
    <xf numFmtId="0" fontId="0" fillId="2" borderId="0" xfId="0" applyFont="1" applyFill="1" applyAlignment="1" applyProtection="1">
      <alignment/>
      <protection/>
    </xf>
    <xf numFmtId="14" fontId="12" fillId="2" borderId="0" xfId="0" applyNumberFormat="1" applyFont="1" applyFill="1" applyBorder="1" applyAlignment="1" applyProtection="1">
      <alignment horizontal="center"/>
      <protection/>
    </xf>
    <xf numFmtId="0" fontId="0" fillId="2" borderId="0" xfId="0" applyFill="1" applyAlignment="1" applyProtection="1">
      <alignment/>
      <protection/>
    </xf>
    <xf numFmtId="0" fontId="12" fillId="2" borderId="0" xfId="0" applyFont="1" applyFill="1" applyBorder="1" applyAlignment="1" applyProtection="1">
      <alignment horizontal="left" vertical="top"/>
      <protection/>
    </xf>
    <xf numFmtId="0" fontId="4" fillId="2" borderId="0" xfId="0" applyFont="1" applyFill="1" applyBorder="1" applyAlignment="1" applyProtection="1">
      <alignment horizontal="center"/>
      <protection/>
    </xf>
    <xf numFmtId="0" fontId="13" fillId="2" borderId="0" xfId="0" applyFont="1" applyFill="1" applyBorder="1" applyAlignment="1" applyProtection="1">
      <alignment horizontal="left" vertical="center"/>
      <protection/>
    </xf>
    <xf numFmtId="0" fontId="12" fillId="2" borderId="0" xfId="0" applyFont="1" applyFill="1" applyBorder="1" applyAlignment="1" applyProtection="1">
      <alignment horizontal="left" vertical="center" wrapText="1"/>
      <protection/>
    </xf>
    <xf numFmtId="0" fontId="26" fillId="2" borderId="0" xfId="0" applyFont="1" applyFill="1" applyBorder="1" applyAlignment="1" applyProtection="1">
      <alignment horizontal="center"/>
      <protection/>
    </xf>
    <xf numFmtId="0" fontId="26" fillId="2" borderId="0" xfId="0" applyFont="1" applyFill="1" applyAlignment="1" applyProtection="1">
      <alignment/>
      <protection/>
    </xf>
    <xf numFmtId="14" fontId="25" fillId="0" borderId="0" xfId="0" applyNumberFormat="1" applyFont="1" applyFill="1" applyBorder="1" applyAlignment="1" applyProtection="1">
      <alignment horizontal="center"/>
      <protection/>
    </xf>
    <xf numFmtId="0" fontId="12" fillId="0" borderId="0" xfId="0" applyFont="1" applyFill="1" applyAlignment="1" applyProtection="1">
      <alignment/>
      <protection/>
    </xf>
    <xf numFmtId="0" fontId="12" fillId="2" borderId="30" xfId="0" applyFont="1" applyFill="1" applyBorder="1" applyAlignment="1">
      <alignment horizontal="left"/>
    </xf>
    <xf numFmtId="0" fontId="0" fillId="8" borderId="40" xfId="0" applyFill="1" applyBorder="1" applyAlignment="1" applyProtection="1">
      <alignment horizontal="center"/>
      <protection locked="0"/>
    </xf>
    <xf numFmtId="0" fontId="0" fillId="8" borderId="41" xfId="0" applyFill="1" applyBorder="1" applyAlignment="1" applyProtection="1">
      <alignment horizontal="center"/>
      <protection locked="0"/>
    </xf>
    <xf numFmtId="0" fontId="27" fillId="0" borderId="0" xfId="0" applyFont="1" applyFill="1" applyBorder="1" applyAlignment="1">
      <alignment horizontal="left"/>
    </xf>
    <xf numFmtId="0" fontId="28" fillId="0" borderId="0" xfId="0" applyFont="1" applyAlignment="1">
      <alignment/>
    </xf>
    <xf numFmtId="14" fontId="13" fillId="0" borderId="0" xfId="0" applyNumberFormat="1" applyFont="1" applyFill="1" applyBorder="1" applyAlignment="1">
      <alignment horizontal="center"/>
    </xf>
    <xf numFmtId="0" fontId="0" fillId="2" borderId="0" xfId="0" applyFill="1" applyBorder="1" applyAlignment="1">
      <alignment horizontal="left"/>
    </xf>
    <xf numFmtId="0" fontId="0" fillId="2" borderId="0" xfId="0" applyFont="1" applyFill="1" applyBorder="1" applyAlignment="1">
      <alignment horizontal="left"/>
    </xf>
    <xf numFmtId="49" fontId="17" fillId="8" borderId="32" xfId="0" applyNumberFormat="1" applyFont="1" applyFill="1" applyBorder="1" applyAlignment="1" applyProtection="1">
      <alignment horizontal="center"/>
      <protection locked="0"/>
    </xf>
    <xf numFmtId="49" fontId="16" fillId="2" borderId="0" xfId="0" applyNumberFormat="1" applyFont="1" applyFill="1" applyBorder="1" applyAlignment="1">
      <alignment horizontal="center"/>
    </xf>
    <xf numFmtId="49" fontId="13" fillId="2" borderId="0" xfId="0" applyNumberFormat="1" applyFont="1" applyFill="1" applyBorder="1" applyAlignment="1">
      <alignment horizontal="center"/>
    </xf>
    <xf numFmtId="49" fontId="12" fillId="2" borderId="6" xfId="0" applyNumberFormat="1" applyFont="1" applyFill="1" applyBorder="1" applyAlignment="1" applyProtection="1">
      <alignment/>
      <protection/>
    </xf>
    <xf numFmtId="49" fontId="25" fillId="2" borderId="0" xfId="0" applyNumberFormat="1" applyFont="1" applyFill="1" applyBorder="1" applyAlignment="1" applyProtection="1">
      <alignment horizontal="center"/>
      <protection/>
    </xf>
    <xf numFmtId="49" fontId="17" fillId="8" borderId="34" xfId="0" applyNumberFormat="1" applyFont="1" applyFill="1" applyBorder="1" applyAlignment="1" applyProtection="1">
      <alignment horizontal="center"/>
      <protection locked="0"/>
    </xf>
    <xf numFmtId="49" fontId="13" fillId="0" borderId="0" xfId="0" applyNumberFormat="1" applyFont="1" applyFill="1" applyBorder="1" applyAlignment="1">
      <alignment horizontal="center"/>
    </xf>
    <xf numFmtId="49" fontId="12" fillId="2" borderId="0" xfId="0" applyNumberFormat="1" applyFont="1" applyFill="1" applyBorder="1" applyAlignment="1">
      <alignment horizontal="right"/>
    </xf>
    <xf numFmtId="49" fontId="13" fillId="2" borderId="0" xfId="0" applyNumberFormat="1" applyFont="1" applyFill="1" applyBorder="1" applyAlignment="1">
      <alignment horizontal="right"/>
    </xf>
    <xf numFmtId="49" fontId="25" fillId="0" borderId="0" xfId="0" applyNumberFormat="1" applyFont="1" applyFill="1" applyBorder="1" applyAlignment="1" applyProtection="1">
      <alignment horizontal="right"/>
      <protection/>
    </xf>
    <xf numFmtId="49" fontId="26" fillId="2" borderId="0" xfId="0" applyNumberFormat="1" applyFont="1" applyFill="1" applyBorder="1" applyAlignment="1" applyProtection="1">
      <alignment horizontal="right"/>
      <protection/>
    </xf>
    <xf numFmtId="165" fontId="6" fillId="2" borderId="0" xfId="0" applyNumberFormat="1" applyFont="1" applyFill="1" applyAlignment="1">
      <alignment horizontal="center"/>
    </xf>
    <xf numFmtId="0" fontId="10" fillId="2" borderId="0" xfId="0" applyFont="1" applyFill="1" applyAlignment="1">
      <alignment/>
    </xf>
    <xf numFmtId="165" fontId="6" fillId="8" borderId="6" xfId="0" applyNumberFormat="1" applyFont="1" applyFill="1" applyBorder="1" applyAlignment="1" applyProtection="1">
      <alignment horizontal="center"/>
      <protection locked="0"/>
    </xf>
    <xf numFmtId="165" fontId="6" fillId="0" borderId="6" xfId="0" applyNumberFormat="1" applyFont="1" applyBorder="1" applyAlignment="1">
      <alignment horizontal="center"/>
    </xf>
    <xf numFmtId="49" fontId="13" fillId="2" borderId="0" xfId="0" applyNumberFormat="1" applyFont="1" applyFill="1" applyBorder="1" applyAlignment="1">
      <alignment horizontal="left" vertical="center" wrapText="1"/>
    </xf>
    <xf numFmtId="49" fontId="17" fillId="8" borderId="27" xfId="0" applyNumberFormat="1" applyFont="1" applyFill="1" applyBorder="1" applyAlignment="1" applyProtection="1">
      <alignment horizontal="left" vertical="center" wrapText="1"/>
      <protection locked="0"/>
    </xf>
    <xf numFmtId="49" fontId="0" fillId="0" borderId="33" xfId="0" applyNumberFormat="1" applyBorder="1" applyAlignment="1" applyProtection="1">
      <alignment horizontal="left" vertical="center" wrapText="1"/>
      <protection locked="0"/>
    </xf>
    <xf numFmtId="49" fontId="0" fillId="0" borderId="34" xfId="0" applyNumberFormat="1" applyBorder="1" applyAlignment="1" applyProtection="1">
      <alignment horizontal="left" vertical="center" wrapText="1"/>
      <protection locked="0"/>
    </xf>
    <xf numFmtId="0" fontId="29" fillId="2" borderId="0" xfId="0" applyFont="1" applyFill="1" applyAlignment="1">
      <alignment/>
    </xf>
    <xf numFmtId="0" fontId="17" fillId="2" borderId="0" xfId="0" applyFont="1" applyFill="1" applyAlignment="1">
      <alignment/>
    </xf>
    <xf numFmtId="0" fontId="30" fillId="2" borderId="0" xfId="0" applyFont="1" applyFill="1" applyAlignment="1">
      <alignment/>
    </xf>
    <xf numFmtId="0" fontId="8" fillId="2" borderId="38" xfId="0" applyFont="1" applyFill="1" applyBorder="1" applyAlignment="1">
      <alignment horizontal="center"/>
    </xf>
    <xf numFmtId="0" fontId="4" fillId="2" borderId="38" xfId="0" applyFont="1" applyFill="1" applyBorder="1" applyAlignment="1">
      <alignment horizontal="center"/>
    </xf>
    <xf numFmtId="0" fontId="4" fillId="2" borderId="0" xfId="0" applyFont="1" applyFill="1" applyAlignment="1">
      <alignment horizontal="center"/>
    </xf>
    <xf numFmtId="0" fontId="4" fillId="0" borderId="0" xfId="0" applyFont="1" applyAlignment="1">
      <alignment horizontal="center"/>
    </xf>
    <xf numFmtId="0" fontId="4" fillId="4" borderId="12" xfId="0" applyFont="1" applyFill="1" applyBorder="1" applyAlignment="1">
      <alignment horizontal="right"/>
    </xf>
    <xf numFmtId="0" fontId="4" fillId="4" borderId="42" xfId="0" applyFont="1" applyFill="1" applyBorder="1" applyAlignment="1">
      <alignment horizontal="right"/>
    </xf>
    <xf numFmtId="0" fontId="4" fillId="5" borderId="13" xfId="0" applyFont="1" applyFill="1" applyBorder="1" applyAlignment="1">
      <alignment horizontal="right"/>
    </xf>
    <xf numFmtId="0" fontId="4" fillId="5" borderId="43" xfId="0" applyFont="1" applyFill="1" applyBorder="1" applyAlignment="1">
      <alignment horizontal="right"/>
    </xf>
    <xf numFmtId="0" fontId="4" fillId="2" borderId="17" xfId="0" applyFont="1" applyFill="1" applyBorder="1" applyAlignment="1">
      <alignment horizontal="right"/>
    </xf>
    <xf numFmtId="0" fontId="4" fillId="2" borderId="44" xfId="0" applyFont="1" applyFill="1" applyBorder="1" applyAlignment="1">
      <alignment horizontal="right"/>
    </xf>
    <xf numFmtId="0" fontId="10" fillId="2" borderId="0" xfId="0" applyFont="1" applyFill="1" applyAlignment="1">
      <alignment horizontal="left" vertical="top" wrapText="1"/>
    </xf>
    <xf numFmtId="0" fontId="10" fillId="2" borderId="0" xfId="0" applyFont="1" applyFill="1" applyAlignment="1">
      <alignment horizontal="center" vertical="center" wrapText="1"/>
    </xf>
    <xf numFmtId="0" fontId="31" fillId="2" borderId="0" xfId="0" applyFont="1" applyFill="1" applyBorder="1" applyAlignment="1">
      <alignment horizontal="center" vertical="center"/>
    </xf>
    <xf numFmtId="0" fontId="0" fillId="2" borderId="14" xfId="0" applyFont="1" applyFill="1" applyBorder="1" applyAlignment="1">
      <alignment horizontal="left"/>
    </xf>
    <xf numFmtId="0" fontId="0" fillId="0" borderId="20" xfId="0" applyBorder="1" applyAlignment="1">
      <alignment horizontal="left"/>
    </xf>
    <xf numFmtId="49" fontId="0" fillId="0" borderId="35" xfId="0" applyNumberFormat="1" applyBorder="1" applyAlignment="1" applyProtection="1">
      <alignment horizontal="left" vertical="center" wrapText="1"/>
      <protection locked="0"/>
    </xf>
    <xf numFmtId="49" fontId="0" fillId="0" borderId="0" xfId="0" applyNumberFormat="1" applyAlignment="1" applyProtection="1">
      <alignment horizontal="left" vertical="center" wrapText="1"/>
      <protection locked="0"/>
    </xf>
    <xf numFmtId="49" fontId="0" fillId="0" borderId="36" xfId="0" applyNumberFormat="1" applyBorder="1" applyAlignment="1" applyProtection="1">
      <alignment horizontal="left" vertical="center" wrapText="1"/>
      <protection locked="0"/>
    </xf>
    <xf numFmtId="49" fontId="0" fillId="0" borderId="37" xfId="0" applyNumberFormat="1" applyBorder="1" applyAlignment="1" applyProtection="1">
      <alignment horizontal="left" vertical="center" wrapText="1"/>
      <protection locked="0"/>
    </xf>
    <xf numFmtId="49" fontId="0" fillId="0" borderId="38" xfId="0" applyNumberFormat="1" applyBorder="1" applyAlignment="1" applyProtection="1">
      <alignment horizontal="left" vertical="center" wrapText="1"/>
      <protection locked="0"/>
    </xf>
    <xf numFmtId="49" fontId="0" fillId="0" borderId="39" xfId="0" applyNumberFormat="1" applyBorder="1" applyAlignment="1" applyProtection="1">
      <alignment horizontal="left" vertical="center" wrapText="1"/>
      <protection locked="0"/>
    </xf>
    <xf numFmtId="0" fontId="30" fillId="2" borderId="0" xfId="0" applyFont="1" applyFill="1" applyBorder="1" applyAlignment="1">
      <alignment horizontal="center" vertical="center"/>
    </xf>
    <xf numFmtId="0" fontId="12"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1" fillId="2" borderId="26" xfId="0" applyFont="1" applyFill="1" applyBorder="1" applyAlignment="1">
      <alignment horizontal="right"/>
    </xf>
    <xf numFmtId="0" fontId="0" fillId="0" borderId="43" xfId="0" applyBorder="1" applyAlignment="1">
      <alignment horizontal="right"/>
    </xf>
    <xf numFmtId="0" fontId="1" fillId="2" borderId="43" xfId="0" applyFont="1" applyFill="1" applyBorder="1" applyAlignment="1">
      <alignment horizontal="right"/>
    </xf>
    <xf numFmtId="0" fontId="12" fillId="2" borderId="12" xfId="0" applyFont="1" applyFill="1" applyBorder="1" applyAlignment="1">
      <alignment/>
    </xf>
    <xf numFmtId="0" fontId="0" fillId="0" borderId="19" xfId="0" applyBorder="1" applyAlignment="1">
      <alignment/>
    </xf>
    <xf numFmtId="0" fontId="21" fillId="2" borderId="0" xfId="0"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22" fillId="2" borderId="0" xfId="0" applyFont="1" applyFill="1" applyAlignment="1" applyProtection="1">
      <alignment vertical="center" wrapText="1"/>
      <protection/>
    </xf>
    <xf numFmtId="0" fontId="22" fillId="0" borderId="0" xfId="0" applyFont="1" applyAlignment="1" applyProtection="1">
      <alignment vertical="center" wrapText="1"/>
      <protection/>
    </xf>
  </cellXfs>
  <cellStyles count="6">
    <cellStyle name="Normal" xfId="0"/>
    <cellStyle name="Comma" xfId="15"/>
    <cellStyle name="Comma [0]" xfId="16"/>
    <cellStyle name="Currency" xfId="17"/>
    <cellStyle name="Currency [0]" xfId="18"/>
    <cellStyle name="Percent" xfId="19"/>
  </cellStyles>
  <dxfs count="8">
    <dxf>
      <fill>
        <patternFill>
          <bgColor rgb="FF00FF00"/>
        </patternFill>
      </fill>
      <border/>
    </dxf>
    <dxf>
      <fill>
        <patternFill>
          <bgColor rgb="FFFF99CC"/>
        </patternFill>
      </fill>
      <border>
        <left style="thin">
          <color rgb="FF000000"/>
        </left>
        <right style="thin">
          <color rgb="FF000000"/>
        </right>
        <top style="thin"/>
        <bottom style="thin">
          <color rgb="FF000000"/>
        </bottom>
      </border>
    </dxf>
    <dxf>
      <fill>
        <patternFill patternType="solid">
          <bgColor rgb="FF00FF00"/>
        </patternFill>
      </fill>
      <border/>
    </dxf>
    <dxf>
      <fill>
        <patternFill>
          <bgColor rgb="FFFFFFCC"/>
        </patternFill>
      </fill>
      <border/>
    </dxf>
    <dxf>
      <fill>
        <patternFill>
          <bgColor rgb="FFFFFF00"/>
        </patternFill>
      </fill>
      <border/>
    </dxf>
    <dxf>
      <fill>
        <patternFill patternType="solid">
          <bgColor rgb="FFFFFFCC"/>
        </patternFill>
      </fill>
      <border/>
    </dxf>
    <dxf>
      <fill>
        <patternFill>
          <bgColor rgb="FFFF99CC"/>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19</xdr:row>
      <xdr:rowOff>28575</xdr:rowOff>
    </xdr:from>
    <xdr:to>
      <xdr:col>8</xdr:col>
      <xdr:colOff>1419225</xdr:colOff>
      <xdr:row>21</xdr:row>
      <xdr:rowOff>95250</xdr:rowOff>
    </xdr:to>
    <xdr:sp>
      <xdr:nvSpPr>
        <xdr:cNvPr id="1" name="AutoShape 20"/>
        <xdr:cNvSpPr>
          <a:spLocks/>
        </xdr:cNvSpPr>
      </xdr:nvSpPr>
      <xdr:spPr>
        <a:xfrm>
          <a:off x="7248525" y="4048125"/>
          <a:ext cx="981075" cy="4857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7"/>
  <sheetViews>
    <sheetView tabSelected="1" workbookViewId="0" topLeftCell="A1">
      <selection activeCell="C2" sqref="C2"/>
    </sheetView>
  </sheetViews>
  <sheetFormatPr defaultColWidth="9.140625" defaultRowHeight="12.75"/>
  <cols>
    <col min="1" max="1" width="3.28125" style="19" customWidth="1"/>
    <col min="2" max="2" width="46.8515625" style="19" customWidth="1"/>
    <col min="3" max="3" width="11.57421875" style="19" customWidth="1"/>
    <col min="4" max="4" width="9.7109375" style="19" bestFit="1" customWidth="1"/>
    <col min="5" max="5" width="4.140625" style="19" customWidth="1"/>
    <col min="6" max="9" width="12.8515625" style="19" customWidth="1"/>
    <col min="10" max="16384" width="9.140625" style="19" customWidth="1"/>
  </cols>
  <sheetData>
    <row r="1" spans="1:11" ht="24" customHeight="1" thickBot="1">
      <c r="A1" s="34"/>
      <c r="B1" s="184" t="s">
        <v>128</v>
      </c>
      <c r="C1" s="34"/>
      <c r="D1" s="96" t="s">
        <v>8</v>
      </c>
      <c r="E1" s="89"/>
      <c r="F1" s="34"/>
      <c r="G1" s="252" t="s">
        <v>160</v>
      </c>
      <c r="H1" s="34"/>
      <c r="I1" s="34"/>
      <c r="J1" s="34"/>
      <c r="K1" s="34"/>
    </row>
    <row r="2" spans="1:11" ht="18" thickBot="1" thickTop="1">
      <c r="A2" s="34"/>
      <c r="B2" s="37" t="s">
        <v>4</v>
      </c>
      <c r="C2" s="51"/>
      <c r="D2" s="97">
        <v>1000</v>
      </c>
      <c r="E2" s="90"/>
      <c r="F2" s="34"/>
      <c r="G2" s="34"/>
      <c r="H2" s="34"/>
      <c r="I2" s="34"/>
      <c r="J2" s="34"/>
      <c r="K2" s="34"/>
    </row>
    <row r="3" spans="1:11" ht="17.25" thickTop="1">
      <c r="A3" s="34"/>
      <c r="B3" s="27" t="s">
        <v>26</v>
      </c>
      <c r="C3" s="38"/>
      <c r="D3" s="98">
        <v>1000</v>
      </c>
      <c r="E3" s="91"/>
      <c r="F3" s="257" t="s">
        <v>19</v>
      </c>
      <c r="G3" s="258"/>
      <c r="H3" s="258"/>
      <c r="I3" s="71">
        <f>IF(OR(C5=0,C3=0),"",C5*C3/7000)</f>
      </c>
      <c r="J3" s="34" t="s">
        <v>39</v>
      </c>
      <c r="K3" s="34"/>
    </row>
    <row r="4" spans="1:11" ht="16.5">
      <c r="A4" s="34"/>
      <c r="B4" s="27" t="s">
        <v>27</v>
      </c>
      <c r="C4" s="39"/>
      <c r="D4" s="99">
        <v>39.47</v>
      </c>
      <c r="E4" s="92"/>
      <c r="F4" s="259" t="s">
        <v>20</v>
      </c>
      <c r="G4" s="260"/>
      <c r="H4" s="260"/>
      <c r="I4" s="72">
        <f>IF(C6&lt;&gt;0,C6,"")</f>
      </c>
      <c r="J4" s="34" t="s">
        <v>39</v>
      </c>
      <c r="K4" s="34"/>
    </row>
    <row r="5" spans="1:11" ht="17.25" thickBot="1">
      <c r="A5" s="34"/>
      <c r="B5" s="27" t="s">
        <v>28</v>
      </c>
      <c r="C5" s="38"/>
      <c r="D5" s="98">
        <v>124</v>
      </c>
      <c r="E5" s="92"/>
      <c r="F5" s="261" t="s">
        <v>24</v>
      </c>
      <c r="G5" s="262"/>
      <c r="H5" s="262"/>
      <c r="I5" s="49"/>
      <c r="J5" s="34" t="s">
        <v>39</v>
      </c>
      <c r="K5" s="34"/>
    </row>
    <row r="6" spans="1:11" ht="18" thickBot="1" thickTop="1">
      <c r="A6" s="34"/>
      <c r="B6" s="26" t="s">
        <v>30</v>
      </c>
      <c r="C6" s="40"/>
      <c r="D6" s="100">
        <v>2</v>
      </c>
      <c r="E6" s="93"/>
      <c r="F6" s="34"/>
      <c r="G6" s="34"/>
      <c r="H6" s="34"/>
      <c r="J6" s="34"/>
      <c r="K6" s="34"/>
    </row>
    <row r="7" spans="1:11" ht="18" thickBot="1" thickTop="1">
      <c r="A7" s="34"/>
      <c r="B7" s="26" t="s">
        <v>29</v>
      </c>
      <c r="C7" s="39"/>
      <c r="D7" s="101">
        <v>33.7</v>
      </c>
      <c r="E7" s="94"/>
      <c r="F7" s="34"/>
      <c r="G7" s="34"/>
      <c r="H7" s="44" t="s">
        <v>13</v>
      </c>
      <c r="I7" s="21">
        <f>IF(SUM(I3:I6)&lt;&gt;0,SUM(I3:I6),"")</f>
      </c>
      <c r="J7" s="34" t="s">
        <v>39</v>
      </c>
      <c r="K7" s="34"/>
    </row>
    <row r="8" spans="1:11" ht="18" thickBot="1" thickTop="1">
      <c r="A8" s="34"/>
      <c r="B8" s="26" t="s">
        <v>31</v>
      </c>
      <c r="C8" s="41"/>
      <c r="D8" s="102">
        <v>12.6</v>
      </c>
      <c r="E8" s="94"/>
      <c r="F8" s="34"/>
      <c r="G8" s="34"/>
      <c r="H8" s="34"/>
      <c r="I8" s="34"/>
      <c r="J8" s="34"/>
      <c r="K8" s="34"/>
    </row>
    <row r="9" spans="1:11" ht="17.25" thickTop="1">
      <c r="A9" s="34"/>
      <c r="B9" s="29" t="s">
        <v>38</v>
      </c>
      <c r="C9" s="39"/>
      <c r="D9" s="101">
        <v>95</v>
      </c>
      <c r="E9" s="93"/>
      <c r="F9" s="47"/>
      <c r="G9" s="48" t="s">
        <v>23</v>
      </c>
      <c r="H9" s="45"/>
      <c r="I9" s="34"/>
      <c r="J9" s="34"/>
      <c r="K9" s="34"/>
    </row>
    <row r="10" spans="1:11" ht="17.25" thickBot="1">
      <c r="A10" s="34"/>
      <c r="B10" s="29" t="s">
        <v>35</v>
      </c>
      <c r="C10" s="38"/>
      <c r="D10" s="97">
        <v>1000</v>
      </c>
      <c r="E10" s="95"/>
      <c r="F10" s="69"/>
      <c r="G10" s="70" t="s">
        <v>22</v>
      </c>
      <c r="H10" s="46"/>
      <c r="I10" s="34"/>
      <c r="J10" s="34"/>
      <c r="K10" s="34"/>
    </row>
    <row r="11" spans="1:11" ht="17.25" thickTop="1">
      <c r="A11" s="34"/>
      <c r="B11" s="29" t="s">
        <v>32</v>
      </c>
      <c r="C11" s="38"/>
      <c r="D11" s="103">
        <v>10</v>
      </c>
      <c r="E11" s="95"/>
      <c r="F11" s="34"/>
      <c r="G11" s="34"/>
      <c r="H11" s="34"/>
      <c r="I11" s="34"/>
      <c r="J11" s="34"/>
      <c r="K11" s="34"/>
    </row>
    <row r="12" spans="1:11" ht="16.5">
      <c r="A12" s="34"/>
      <c r="B12" s="28" t="s">
        <v>33</v>
      </c>
      <c r="C12" s="39"/>
      <c r="D12" s="101">
        <v>16.37</v>
      </c>
      <c r="E12" s="93"/>
      <c r="F12" s="255">
        <f>IF(AND(C3&lt;C2,C3&lt;&gt;""),"More bullets are needed","")</f>
      </c>
      <c r="G12" s="255"/>
      <c r="H12" s="255"/>
      <c r="I12" s="255"/>
      <c r="J12" s="34"/>
      <c r="K12" s="34"/>
    </row>
    <row r="13" spans="1:11" ht="17.25" thickBot="1">
      <c r="A13" s="34"/>
      <c r="B13" s="42" t="s">
        <v>34</v>
      </c>
      <c r="C13" s="43"/>
      <c r="D13" s="97">
        <v>1000</v>
      </c>
      <c r="E13" s="95"/>
      <c r="F13" s="255">
        <f>IF(AND(C2&lt;&gt;"",C8&lt;&gt;"",C6&lt;C15),"More powder is needed","")</f>
      </c>
      <c r="G13" s="255"/>
      <c r="H13" s="255"/>
      <c r="I13" s="255"/>
      <c r="J13" s="34"/>
      <c r="K13" s="34"/>
    </row>
    <row r="14" spans="1:11" ht="16.5" customHeight="1" thickBot="1" thickTop="1">
      <c r="A14" s="34"/>
      <c r="B14" s="20"/>
      <c r="C14" s="104"/>
      <c r="D14" s="97"/>
      <c r="E14" s="95"/>
      <c r="F14" s="256">
        <f>IF(AND(C10&lt;C2,C10&lt;&gt;""),"More cases are needed","")</f>
      </c>
      <c r="G14" s="256"/>
      <c r="H14" s="256"/>
      <c r="I14" s="256"/>
      <c r="J14" s="34"/>
      <c r="K14" s="34"/>
    </row>
    <row r="15" spans="1:11" ht="18" thickBot="1" thickTop="1">
      <c r="A15" s="34"/>
      <c r="B15" s="65" t="s">
        <v>21</v>
      </c>
      <c r="C15" s="105">
        <f>IF(C2*C8/7000&lt;&gt;0,C2*C8/7000,"")</f>
      </c>
      <c r="D15" s="89"/>
      <c r="E15" s="89"/>
      <c r="F15" s="255">
        <f>IF(AND(C13&lt;&gt;"",C13&lt;C2),"More primers are needed","")</f>
      </c>
      <c r="G15" s="255"/>
      <c r="H15" s="255"/>
      <c r="I15" s="255"/>
      <c r="J15" s="34"/>
      <c r="K15" s="34"/>
    </row>
    <row r="16" spans="1:11" ht="6" customHeight="1" thickBot="1" thickTop="1">
      <c r="A16" s="34"/>
      <c r="B16" s="66"/>
      <c r="C16" s="106"/>
      <c r="D16" s="89"/>
      <c r="E16" s="89"/>
      <c r="F16" s="52"/>
      <c r="G16" s="52"/>
      <c r="H16" s="52"/>
      <c r="I16" s="52"/>
      <c r="J16" s="34"/>
      <c r="K16" s="34"/>
    </row>
    <row r="17" spans="1:11" ht="18" thickBot="1" thickTop="1">
      <c r="A17" s="34"/>
      <c r="B17" s="31" t="s">
        <v>10</v>
      </c>
      <c r="C17" s="107">
        <f>IF(OR(ISERR(C4/C3*C2),C4=""),"",C4/C3*C2)</f>
      </c>
      <c r="D17" s="89"/>
      <c r="E17" s="89"/>
      <c r="F17" s="253" t="s">
        <v>42</v>
      </c>
      <c r="G17" s="254"/>
      <c r="H17" s="254"/>
      <c r="I17" s="254"/>
      <c r="J17" s="34"/>
      <c r="K17" s="34"/>
    </row>
    <row r="18" spans="1:11" ht="17.25" thickTop="1">
      <c r="A18" s="34"/>
      <c r="B18" s="30" t="s">
        <v>9</v>
      </c>
      <c r="C18" s="108">
        <f>IF(ISERR(C7/C6*C15),"",C7/C6*C15)</f>
      </c>
      <c r="D18" s="89"/>
      <c r="E18" s="89"/>
      <c r="F18" s="22" t="s">
        <v>14</v>
      </c>
      <c r="G18" s="25" t="s">
        <v>16</v>
      </c>
      <c r="H18" s="23" t="s">
        <v>15</v>
      </c>
      <c r="I18" s="24" t="s">
        <v>17</v>
      </c>
      <c r="J18" s="34"/>
      <c r="K18" s="34"/>
    </row>
    <row r="19" spans="1:11" ht="17.25" thickBot="1">
      <c r="A19" s="34"/>
      <c r="B19" s="33" t="s">
        <v>40</v>
      </c>
      <c r="C19" s="109">
        <f>IF(AND(C24&lt;&gt;"",C2&lt;&gt;""),C24*C2,"")</f>
      </c>
      <c r="D19" s="89"/>
      <c r="E19" s="89"/>
      <c r="F19" s="34"/>
      <c r="G19" s="34"/>
      <c r="H19" s="34"/>
      <c r="I19" s="34"/>
      <c r="J19" s="34"/>
      <c r="K19" s="34"/>
    </row>
    <row r="20" spans="1:11" ht="18" thickBot="1" thickTop="1">
      <c r="A20" s="34"/>
      <c r="B20" s="32" t="s">
        <v>11</v>
      </c>
      <c r="C20" s="110">
        <f>IF(OR(ISERR(C12/C13*C2),C12=""),"",C12/C13*C2)</f>
      </c>
      <c r="D20" s="89"/>
      <c r="E20" s="89"/>
      <c r="F20" s="53"/>
      <c r="G20" s="54"/>
      <c r="H20" s="55" t="s">
        <v>12</v>
      </c>
      <c r="I20" s="56">
        <f>IF(AND(C3&lt;&gt;"",C6&lt;&gt;"",C10&lt;&gt;"",C13&lt;&gt;"",C4+C7+C9+C12&lt;&gt;0),SUM(C17:C20)+H9+H10,"")</f>
      </c>
      <c r="J20" s="34"/>
      <c r="K20" s="34"/>
    </row>
    <row r="21" spans="1:11" ht="6" customHeight="1" thickBot="1" thickTop="1">
      <c r="A21" s="34"/>
      <c r="B21" s="66"/>
      <c r="C21" s="111"/>
      <c r="D21" s="89"/>
      <c r="E21" s="89"/>
      <c r="F21" s="57"/>
      <c r="G21" s="58"/>
      <c r="H21" s="58"/>
      <c r="I21" s="68"/>
      <c r="J21" s="34"/>
      <c r="K21" s="34"/>
    </row>
    <row r="22" spans="1:11" ht="18" thickBot="1" thickTop="1">
      <c r="A22" s="34"/>
      <c r="B22" s="50" t="s">
        <v>5</v>
      </c>
      <c r="C22" s="112">
        <f>IF(OR(ISERR(C4/C3),C4=""),"",C4/C3)</f>
      </c>
      <c r="D22" s="89"/>
      <c r="E22" s="89"/>
      <c r="F22" s="57"/>
      <c r="G22" s="58"/>
      <c r="H22" s="20" t="s">
        <v>25</v>
      </c>
      <c r="I22" s="59">
        <f>IF(ISERR(C23+C22+C24+C25),"",C23+C22+C24+C25+((H9+H10)/C2))</f>
      </c>
      <c r="J22" s="34"/>
      <c r="K22" s="34"/>
    </row>
    <row r="23" spans="1:11" ht="17.25" thickTop="1">
      <c r="A23" s="34"/>
      <c r="B23" s="30" t="s">
        <v>6</v>
      </c>
      <c r="C23" s="113">
        <f>IF(ISERR(C18/C2),"",C18/C2)</f>
      </c>
      <c r="D23" s="89"/>
      <c r="E23" s="89"/>
      <c r="F23" s="122"/>
      <c r="G23" s="123"/>
      <c r="H23" s="20" t="s">
        <v>97</v>
      </c>
      <c r="I23" s="60">
        <f>IF(ISERR(I22*50),"",I22*20)</f>
      </c>
      <c r="J23" s="34"/>
      <c r="K23" s="34"/>
    </row>
    <row r="24" spans="1:11" ht="17.25" thickBot="1">
      <c r="A24" s="34"/>
      <c r="B24" s="33" t="s">
        <v>41</v>
      </c>
      <c r="C24" s="114">
        <f>IF(ISERR(C9/C10/C11),"",C9/C10/C11)</f>
      </c>
      <c r="D24" s="89"/>
      <c r="E24" s="89"/>
      <c r="F24" s="57"/>
      <c r="G24" s="58"/>
      <c r="H24" s="20" t="s">
        <v>37</v>
      </c>
      <c r="I24" s="60">
        <f>IF(ISERR(I22*50),"",I22*50)</f>
      </c>
      <c r="J24" s="34"/>
      <c r="K24" s="34"/>
    </row>
    <row r="25" spans="1:11" ht="18" thickBot="1" thickTop="1">
      <c r="A25" s="34"/>
      <c r="B25" s="67" t="s">
        <v>7</v>
      </c>
      <c r="C25" s="115">
        <f>IF(OR(ISERR(C12/C13),C12=""),"",C12/C13)</f>
      </c>
      <c r="D25" s="89"/>
      <c r="E25" s="89"/>
      <c r="F25" s="61"/>
      <c r="G25" s="62"/>
      <c r="H25" s="63" t="s">
        <v>36</v>
      </c>
      <c r="I25" s="64">
        <f>IF(ISERR(100*I22),"",100*I22)</f>
      </c>
      <c r="J25" s="34"/>
      <c r="K25" s="34"/>
    </row>
    <row r="26" spans="1:11" ht="17.25" thickTop="1">
      <c r="A26" s="34"/>
      <c r="B26" s="34"/>
      <c r="C26" s="34"/>
      <c r="D26" s="34"/>
      <c r="E26" s="34"/>
      <c r="F26" s="34"/>
      <c r="G26" s="34"/>
      <c r="H26" s="34"/>
      <c r="I26" s="34"/>
      <c r="J26" s="34"/>
      <c r="K26" s="34"/>
    </row>
    <row r="27" spans="1:11" ht="16.5">
      <c r="A27" s="34"/>
      <c r="B27" s="34"/>
      <c r="C27" s="34"/>
      <c r="D27" s="34"/>
      <c r="E27" s="34"/>
      <c r="F27" s="34"/>
      <c r="G27" s="34"/>
      <c r="H27" s="34"/>
      <c r="I27" s="34"/>
      <c r="J27" s="34"/>
      <c r="K27" s="34"/>
    </row>
  </sheetData>
  <sheetProtection sheet="1" objects="1" scenarios="1"/>
  <mergeCells count="8">
    <mergeCell ref="F3:H3"/>
    <mergeCell ref="F4:H4"/>
    <mergeCell ref="F5:H5"/>
    <mergeCell ref="F12:I12"/>
    <mergeCell ref="F17:I17"/>
    <mergeCell ref="F13:I13"/>
    <mergeCell ref="F14:I14"/>
    <mergeCell ref="F15:I15"/>
  </mergeCells>
  <conditionalFormatting sqref="I5 H9:H10">
    <cfRule type="cellIs" priority="1" dxfId="0" operator="greaterThan" stopIfTrue="1">
      <formula>0</formula>
    </cfRule>
  </conditionalFormatting>
  <conditionalFormatting sqref="F12:I16">
    <cfRule type="cellIs" priority="2" dxfId="1" operator="notEqual" stopIfTrue="1">
      <formula>""</formula>
    </cfRule>
  </conditionalFormatting>
  <conditionalFormatting sqref="C2:C14">
    <cfRule type="cellIs" priority="3" dxfId="2" operator="greaterThan" stopIfTrue="1">
      <formula>0</formula>
    </cfRule>
  </conditionalFormatting>
  <printOptions/>
  <pageMargins left="0.25" right="0.25" top="1" bottom="1" header="0.5" footer="0.5"/>
  <pageSetup horizontalDpi="300" verticalDpi="300" orientation="landscape"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Y28"/>
  <sheetViews>
    <sheetView workbookViewId="0" topLeftCell="A1">
      <selection activeCell="C2" sqref="C2"/>
    </sheetView>
  </sheetViews>
  <sheetFormatPr defaultColWidth="9.140625" defaultRowHeight="12.75"/>
  <cols>
    <col min="1" max="1" width="2.00390625" style="74" customWidth="1"/>
    <col min="2" max="2" width="26.28125" style="74" bestFit="1" customWidth="1"/>
    <col min="3" max="3" width="14.28125" style="74" bestFit="1" customWidth="1"/>
    <col min="4" max="4" width="9.7109375" style="74" bestFit="1" customWidth="1"/>
    <col min="5" max="5" width="16.7109375" style="74" customWidth="1"/>
    <col min="6" max="6" width="19.8515625" style="74" bestFit="1" customWidth="1"/>
    <col min="7" max="7" width="9.7109375" style="74" bestFit="1" customWidth="1"/>
    <col min="8" max="8" width="3.57421875" style="74" customWidth="1"/>
    <col min="9" max="9" width="25.140625" style="74" customWidth="1"/>
    <col min="10" max="10" width="11.421875" style="74" bestFit="1" customWidth="1"/>
    <col min="11" max="11" width="1.57421875" style="74" customWidth="1"/>
    <col min="12" max="12" width="26.28125" style="74" bestFit="1" customWidth="1"/>
    <col min="13" max="13" width="9.7109375" style="74" bestFit="1" customWidth="1"/>
    <col min="14" max="14" width="9.140625" style="74" customWidth="1"/>
    <col min="15" max="15" width="2.28125" style="74" customWidth="1"/>
    <col min="16" max="16" width="71.421875" style="74" customWidth="1"/>
    <col min="17" max="16384" width="9.140625" style="74" customWidth="1"/>
  </cols>
  <sheetData>
    <row r="1" spans="1:25" ht="16.5" customHeight="1">
      <c r="A1" s="77"/>
      <c r="B1" s="77"/>
      <c r="C1" s="77"/>
      <c r="D1" s="35" t="s">
        <v>8</v>
      </c>
      <c r="E1" s="77"/>
      <c r="F1" s="77"/>
      <c r="G1" s="77"/>
      <c r="H1" s="77"/>
      <c r="I1" s="77"/>
      <c r="J1" s="77"/>
      <c r="K1" s="77"/>
      <c r="L1" s="77"/>
      <c r="M1" s="77"/>
      <c r="N1" s="77"/>
      <c r="O1" s="77"/>
      <c r="P1" s="77"/>
      <c r="Q1" s="77"/>
      <c r="R1" s="77"/>
      <c r="S1" s="77"/>
      <c r="T1" s="77"/>
      <c r="U1" s="77"/>
      <c r="V1" s="77"/>
      <c r="W1" s="77"/>
      <c r="X1" s="77"/>
      <c r="Y1" s="77"/>
    </row>
    <row r="2" spans="1:25" ht="16.5">
      <c r="A2" s="77"/>
      <c r="B2" s="145" t="s">
        <v>44</v>
      </c>
      <c r="C2" s="244"/>
      <c r="D2" s="75">
        <v>12.57</v>
      </c>
      <c r="E2" s="77"/>
      <c r="F2" s="76" t="s">
        <v>56</v>
      </c>
      <c r="G2" s="76" t="s">
        <v>57</v>
      </c>
      <c r="H2" s="76"/>
      <c r="I2" s="77"/>
      <c r="J2" s="77"/>
      <c r="K2" s="77"/>
      <c r="L2" s="77" t="s">
        <v>149</v>
      </c>
      <c r="M2" s="77"/>
      <c r="N2" s="35" t="s">
        <v>8</v>
      </c>
      <c r="O2" s="77"/>
      <c r="P2" s="77"/>
      <c r="Q2" s="77"/>
      <c r="R2" s="77"/>
      <c r="S2" s="77"/>
      <c r="T2" s="77"/>
      <c r="U2" s="77"/>
      <c r="V2" s="77"/>
      <c r="W2" s="77"/>
      <c r="X2" s="77"/>
      <c r="Y2" s="77"/>
    </row>
    <row r="3" spans="1:25" ht="16.5">
      <c r="A3" s="77"/>
      <c r="B3" s="145" t="s">
        <v>43</v>
      </c>
      <c r="C3" s="81"/>
      <c r="D3" s="76">
        <v>50</v>
      </c>
      <c r="E3" s="79" t="s">
        <v>58</v>
      </c>
      <c r="F3" s="82"/>
      <c r="G3" s="80"/>
      <c r="H3" s="78"/>
      <c r="I3" s="116" t="s">
        <v>77</v>
      </c>
      <c r="J3" s="117">
        <f>SUM(C7:C25)+SUM(G18:G20)</f>
        <v>0</v>
      </c>
      <c r="K3" s="77"/>
      <c r="L3" s="145" t="s">
        <v>44</v>
      </c>
      <c r="M3" s="244"/>
      <c r="N3" s="78">
        <v>23.17</v>
      </c>
      <c r="O3" s="77"/>
      <c r="P3" s="243" t="s">
        <v>153</v>
      </c>
      <c r="Q3" s="77"/>
      <c r="R3" s="77"/>
      <c r="S3" s="77"/>
      <c r="T3" s="77"/>
      <c r="U3" s="77"/>
      <c r="V3" s="77"/>
      <c r="W3" s="77"/>
      <c r="X3" s="77"/>
      <c r="Y3" s="77"/>
    </row>
    <row r="4" spans="1:25" ht="16.5">
      <c r="A4" s="77"/>
      <c r="B4" s="145" t="s">
        <v>45</v>
      </c>
      <c r="C4" s="245">
        <f>IF(TotalCostPerRound&lt;&gt;"",TotalCostPerRound*C3,IF(G24&lt;&gt;"",G24,""))</f>
      </c>
      <c r="D4" s="76"/>
      <c r="E4" s="79" t="s">
        <v>59</v>
      </c>
      <c r="F4" s="82"/>
      <c r="G4" s="80"/>
      <c r="H4" s="78"/>
      <c r="I4" s="118" t="s">
        <v>80</v>
      </c>
      <c r="J4" s="119">
        <f>IF(ISERR(C4*(C5/C3)),0,(C4*(C5/C3)))+IF(ISERR(M5*(M6/M4)),0,(M5*(M6/M4)))+IF(ISERR(M11*(M12/M10)),0,(M11*(M12/M10)))+IF(ISERR(M17*(M18/M16)),0,(M17*(M18/M16)))+IF(ISERR(M23*(M24/M22)),0,(M23*(M24/M22)))</f>
        <v>0</v>
      </c>
      <c r="K4" s="77"/>
      <c r="L4" s="145" t="s">
        <v>43</v>
      </c>
      <c r="M4" s="81"/>
      <c r="N4" s="76">
        <v>20</v>
      </c>
      <c r="O4" s="77"/>
      <c r="P4" s="77"/>
      <c r="Q4" s="77"/>
      <c r="R4" s="77"/>
      <c r="S4" s="77"/>
      <c r="T4" s="77"/>
      <c r="U4" s="77"/>
      <c r="V4" s="77"/>
      <c r="W4" s="77"/>
      <c r="X4" s="77"/>
      <c r="Y4" s="77"/>
    </row>
    <row r="5" spans="1:25" ht="16.5">
      <c r="A5" s="77"/>
      <c r="B5" s="145" t="s">
        <v>83</v>
      </c>
      <c r="C5" s="81"/>
      <c r="D5" s="36">
        <v>200</v>
      </c>
      <c r="E5" s="79" t="s">
        <v>60</v>
      </c>
      <c r="F5" s="82"/>
      <c r="G5" s="80"/>
      <c r="H5" s="78"/>
      <c r="I5" s="118" t="s">
        <v>79</v>
      </c>
      <c r="J5" s="119">
        <f>((C5/100)*G21/60*G22)</f>
        <v>0</v>
      </c>
      <c r="K5" s="77"/>
      <c r="L5" s="145" t="s">
        <v>45</v>
      </c>
      <c r="M5" s="244"/>
      <c r="N5" s="242">
        <v>6.98</v>
      </c>
      <c r="O5" s="77"/>
      <c r="P5" s="263" t="s">
        <v>155</v>
      </c>
      <c r="Q5" s="77"/>
      <c r="R5" s="77"/>
      <c r="S5" s="77"/>
      <c r="T5" s="77"/>
      <c r="U5" s="77"/>
      <c r="V5" s="77"/>
      <c r="W5" s="77"/>
      <c r="X5" s="77"/>
      <c r="Y5" s="77"/>
    </row>
    <row r="6" spans="1:25" ht="16.5">
      <c r="A6" s="77"/>
      <c r="B6" s="77"/>
      <c r="C6" s="77"/>
      <c r="D6" s="77"/>
      <c r="E6" s="79" t="s">
        <v>61</v>
      </c>
      <c r="F6" s="82"/>
      <c r="G6" s="80"/>
      <c r="H6" s="78"/>
      <c r="I6" s="116" t="s">
        <v>81</v>
      </c>
      <c r="J6" s="117">
        <f>SUM(J4:J5)</f>
        <v>0</v>
      </c>
      <c r="K6" s="77"/>
      <c r="L6" s="145" t="s">
        <v>83</v>
      </c>
      <c r="M6" s="81"/>
      <c r="N6" s="36">
        <v>100</v>
      </c>
      <c r="O6" s="77"/>
      <c r="P6" s="263"/>
      <c r="Q6" s="77"/>
      <c r="R6" s="77"/>
      <c r="S6" s="77"/>
      <c r="T6" s="77"/>
      <c r="U6" s="77"/>
      <c r="V6" s="77"/>
      <c r="W6" s="77"/>
      <c r="X6" s="77"/>
      <c r="Y6" s="77"/>
    </row>
    <row r="7" spans="1:25" ht="16.5">
      <c r="A7" s="77"/>
      <c r="B7" s="145" t="s">
        <v>70</v>
      </c>
      <c r="C7" s="80"/>
      <c r="D7" s="78">
        <v>325</v>
      </c>
      <c r="E7" s="79" t="s">
        <v>62</v>
      </c>
      <c r="F7" s="82"/>
      <c r="G7" s="80"/>
      <c r="H7" s="78"/>
      <c r="I7" s="79"/>
      <c r="J7" s="77"/>
      <c r="K7" s="77"/>
      <c r="L7" s="77"/>
      <c r="M7" s="77"/>
      <c r="N7" s="77"/>
      <c r="O7" s="77"/>
      <c r="P7" s="263"/>
      <c r="Q7" s="77"/>
      <c r="R7" s="77"/>
      <c r="S7" s="77"/>
      <c r="T7" s="77"/>
      <c r="U7" s="77"/>
      <c r="V7" s="77"/>
      <c r="W7" s="77"/>
      <c r="X7" s="77"/>
      <c r="Y7" s="77"/>
    </row>
    <row r="8" spans="1:25" ht="16.5">
      <c r="A8" s="77"/>
      <c r="B8" s="145" t="s">
        <v>71</v>
      </c>
      <c r="C8" s="146">
        <f>IF(SUM(G3:G14)=0,"",SUM(G3:G14))</f>
      </c>
      <c r="D8" s="78"/>
      <c r="E8" s="79" t="s">
        <v>63</v>
      </c>
      <c r="F8" s="82"/>
      <c r="G8" s="80"/>
      <c r="H8" s="78"/>
      <c r="I8" s="118" t="s">
        <v>76</v>
      </c>
      <c r="J8" s="120">
        <f>IF(ISERR(C2*(C5/C3)),0,(C2*(C5/C3)))+IF(ISERR(M3*(M6/M4)),0,(M3*(M6/M4)))+IF(ISERR(M9*(M12/M10)),0,(M9*(M12/M10)))+IF(ISERR(M15*(M18/M16)),0,(M15*(M18/M16)))+IF(ISERR(M21*(M24/M22)),0,(M21*(M24/M22)))-J6</f>
        <v>0</v>
      </c>
      <c r="K8" s="77"/>
      <c r="L8" s="77" t="s">
        <v>150</v>
      </c>
      <c r="M8" s="77"/>
      <c r="N8" s="77"/>
      <c r="O8" s="77"/>
      <c r="P8" s="263"/>
      <c r="Q8" s="77"/>
      <c r="R8" s="77"/>
      <c r="S8" s="77"/>
      <c r="T8" s="77"/>
      <c r="U8" s="77"/>
      <c r="V8" s="77"/>
      <c r="W8" s="77"/>
      <c r="X8" s="77"/>
      <c r="Y8" s="77"/>
    </row>
    <row r="9" spans="1:25" ht="16.5">
      <c r="A9" s="77"/>
      <c r="B9" s="145" t="s">
        <v>90</v>
      </c>
      <c r="C9" s="146">
        <f>IF(SUM(G15:G17)=0,"",SUM(G15:G17))</f>
      </c>
      <c r="D9" s="78"/>
      <c r="E9" s="79" t="s">
        <v>64</v>
      </c>
      <c r="F9" s="82"/>
      <c r="G9" s="80"/>
      <c r="H9" s="78"/>
      <c r="I9" s="118" t="s">
        <v>82</v>
      </c>
      <c r="J9" s="120">
        <f>IF(ISERR(J8*52/12),"",J8*52/12)</f>
        <v>0</v>
      </c>
      <c r="K9" s="77"/>
      <c r="L9" s="145" t="s">
        <v>44</v>
      </c>
      <c r="M9" s="244"/>
      <c r="N9" s="78">
        <v>89</v>
      </c>
      <c r="O9" s="77"/>
      <c r="P9" s="263"/>
      <c r="Q9" s="77"/>
      <c r="R9" s="77"/>
      <c r="S9" s="77"/>
      <c r="T9" s="77"/>
      <c r="U9" s="77"/>
      <c r="V9" s="77"/>
      <c r="W9" s="77"/>
      <c r="X9" s="77"/>
      <c r="Y9" s="77"/>
    </row>
    <row r="10" spans="1:25" ht="16.5">
      <c r="A10" s="77"/>
      <c r="B10" s="147" t="s">
        <v>85</v>
      </c>
      <c r="C10" s="80"/>
      <c r="D10" s="78">
        <v>4.94</v>
      </c>
      <c r="E10" s="79" t="s">
        <v>65</v>
      </c>
      <c r="F10" s="82"/>
      <c r="G10" s="80"/>
      <c r="H10" s="78"/>
      <c r="I10" s="79"/>
      <c r="J10" s="77"/>
      <c r="K10" s="77"/>
      <c r="L10" s="145" t="s">
        <v>43</v>
      </c>
      <c r="M10" s="81"/>
      <c r="N10" s="76">
        <v>500</v>
      </c>
      <c r="O10" s="77"/>
      <c r="P10" s="263"/>
      <c r="Q10" s="77"/>
      <c r="R10" s="77"/>
      <c r="S10" s="77"/>
      <c r="T10" s="77"/>
      <c r="U10" s="77"/>
      <c r="V10" s="77"/>
      <c r="W10" s="77"/>
      <c r="X10" s="77"/>
      <c r="Y10" s="77"/>
    </row>
    <row r="11" spans="1:25" ht="17.25" thickBot="1">
      <c r="A11" s="77"/>
      <c r="B11" s="147" t="s">
        <v>74</v>
      </c>
      <c r="C11" s="80"/>
      <c r="D11" s="78">
        <v>53.98</v>
      </c>
      <c r="E11" s="79" t="s">
        <v>66</v>
      </c>
      <c r="F11" s="82"/>
      <c r="G11" s="80"/>
      <c r="H11" s="78"/>
      <c r="I11" s="79"/>
      <c r="J11" s="77"/>
      <c r="K11" s="77"/>
      <c r="L11" s="145" t="s">
        <v>45</v>
      </c>
      <c r="M11" s="244"/>
      <c r="N11" s="242">
        <v>43.87</v>
      </c>
      <c r="O11" s="77"/>
      <c r="P11" s="263"/>
      <c r="Q11" s="77"/>
      <c r="R11" s="77"/>
      <c r="S11" s="77"/>
      <c r="T11" s="77"/>
      <c r="U11" s="77"/>
      <c r="V11" s="77"/>
      <c r="W11" s="77"/>
      <c r="X11" s="77"/>
      <c r="Y11" s="77"/>
    </row>
    <row r="12" spans="1:25" ht="18" thickBot="1" thickTop="1">
      <c r="A12" s="77"/>
      <c r="B12" s="147" t="s">
        <v>75</v>
      </c>
      <c r="C12" s="80"/>
      <c r="D12" s="78">
        <v>65.95</v>
      </c>
      <c r="E12" s="79" t="s">
        <v>67</v>
      </c>
      <c r="F12" s="82"/>
      <c r="G12" s="80"/>
      <c r="H12" s="77"/>
      <c r="I12" s="44" t="s">
        <v>89</v>
      </c>
      <c r="J12" s="121">
        <f>IF(ISERR(J3/J9),"",IF(J3/J9&gt;=0,J3/J9,"   Never"))</f>
      </c>
      <c r="K12" s="77"/>
      <c r="L12" s="145" t="s">
        <v>83</v>
      </c>
      <c r="M12" s="81"/>
      <c r="N12" s="36">
        <v>50</v>
      </c>
      <c r="O12" s="77"/>
      <c r="P12" s="263"/>
      <c r="Q12" s="77"/>
      <c r="R12" s="77"/>
      <c r="S12" s="77"/>
      <c r="T12" s="77"/>
      <c r="U12" s="77"/>
      <c r="V12" s="77"/>
      <c r="W12" s="77"/>
      <c r="X12" s="77"/>
      <c r="Y12" s="77"/>
    </row>
    <row r="13" spans="1:25" ht="17.25" thickTop="1">
      <c r="A13" s="77"/>
      <c r="B13" s="147" t="s">
        <v>50</v>
      </c>
      <c r="C13" s="80"/>
      <c r="D13" s="78">
        <v>94.94</v>
      </c>
      <c r="E13" s="79" t="s">
        <v>68</v>
      </c>
      <c r="F13" s="82"/>
      <c r="G13" s="80"/>
      <c r="H13" s="78"/>
      <c r="I13" s="77"/>
      <c r="J13" s="77"/>
      <c r="K13" s="77"/>
      <c r="L13" s="77"/>
      <c r="M13" s="77"/>
      <c r="N13" s="77"/>
      <c r="O13" s="77"/>
      <c r="P13" s="77"/>
      <c r="Q13" s="77"/>
      <c r="R13" s="77"/>
      <c r="S13" s="77"/>
      <c r="T13" s="77"/>
      <c r="U13" s="77"/>
      <c r="V13" s="77"/>
      <c r="W13" s="77"/>
      <c r="X13" s="77"/>
      <c r="Y13" s="77"/>
    </row>
    <row r="14" spans="1:25" ht="16.5">
      <c r="A14" s="77"/>
      <c r="B14" s="147" t="s">
        <v>72</v>
      </c>
      <c r="C14" s="80"/>
      <c r="D14" s="78">
        <v>5.12</v>
      </c>
      <c r="E14" s="79" t="s">
        <v>69</v>
      </c>
      <c r="F14" s="82"/>
      <c r="G14" s="80"/>
      <c r="H14" s="78"/>
      <c r="I14" s="264" t="s">
        <v>154</v>
      </c>
      <c r="J14" s="77"/>
      <c r="K14" s="77"/>
      <c r="L14" s="77" t="s">
        <v>151</v>
      </c>
      <c r="M14" s="77"/>
      <c r="N14" s="77"/>
      <c r="O14" s="77"/>
      <c r="P14" s="77"/>
      <c r="Q14" s="77"/>
      <c r="R14" s="77"/>
      <c r="S14" s="77"/>
      <c r="T14" s="77"/>
      <c r="U14" s="77"/>
      <c r="V14" s="77"/>
      <c r="W14" s="77"/>
      <c r="X14" s="77"/>
      <c r="Y14" s="77"/>
    </row>
    <row r="15" spans="1:25" ht="16.5">
      <c r="A15" s="77"/>
      <c r="B15" s="148" t="s">
        <v>94</v>
      </c>
      <c r="C15" s="80"/>
      <c r="D15" s="78">
        <v>83.45</v>
      </c>
      <c r="E15" s="79" t="s">
        <v>86</v>
      </c>
      <c r="F15" s="82"/>
      <c r="G15" s="80"/>
      <c r="H15" s="78"/>
      <c r="I15" s="264"/>
      <c r="J15" s="77"/>
      <c r="K15" s="77"/>
      <c r="L15" s="145" t="s">
        <v>44</v>
      </c>
      <c r="M15" s="244"/>
      <c r="N15" s="78">
        <v>14.38</v>
      </c>
      <c r="O15" s="77"/>
      <c r="P15" s="77"/>
      <c r="Q15" s="77"/>
      <c r="R15" s="77"/>
      <c r="S15" s="77"/>
      <c r="T15" s="77"/>
      <c r="U15" s="77"/>
      <c r="V15" s="77"/>
      <c r="W15" s="77"/>
      <c r="X15" s="77"/>
      <c r="Y15" s="77"/>
    </row>
    <row r="16" spans="1:25" ht="16.5" customHeight="1">
      <c r="A16" s="77"/>
      <c r="B16" s="148" t="s">
        <v>47</v>
      </c>
      <c r="C16" s="80"/>
      <c r="D16" s="78">
        <v>11.59</v>
      </c>
      <c r="E16" s="79" t="s">
        <v>87</v>
      </c>
      <c r="F16" s="82"/>
      <c r="G16" s="80"/>
      <c r="H16" s="77"/>
      <c r="I16" s="264"/>
      <c r="J16" s="77"/>
      <c r="K16" s="77"/>
      <c r="L16" s="145" t="s">
        <v>43</v>
      </c>
      <c r="M16" s="81"/>
      <c r="N16" s="76">
        <v>50</v>
      </c>
      <c r="O16" s="77"/>
      <c r="P16" s="77"/>
      <c r="Q16" s="77"/>
      <c r="R16" s="77"/>
      <c r="S16" s="77"/>
      <c r="T16" s="77"/>
      <c r="U16" s="77"/>
      <c r="V16" s="77"/>
      <c r="W16" s="77"/>
      <c r="X16" s="77"/>
      <c r="Y16" s="77"/>
    </row>
    <row r="17" spans="1:25" ht="16.5">
      <c r="A17" s="77"/>
      <c r="B17" s="149" t="s">
        <v>46</v>
      </c>
      <c r="C17" s="80"/>
      <c r="D17" s="78">
        <v>62.61</v>
      </c>
      <c r="E17" s="79" t="s">
        <v>88</v>
      </c>
      <c r="F17" s="82"/>
      <c r="G17" s="80"/>
      <c r="H17" s="78"/>
      <c r="I17" s="264"/>
      <c r="J17" s="77"/>
      <c r="K17" s="77"/>
      <c r="L17" s="145" t="s">
        <v>45</v>
      </c>
      <c r="M17" s="244"/>
      <c r="N17" s="242">
        <v>7.34</v>
      </c>
      <c r="O17" s="77"/>
      <c r="P17" s="77"/>
      <c r="Q17" s="77"/>
      <c r="R17" s="77"/>
      <c r="S17" s="77"/>
      <c r="T17" s="77"/>
      <c r="U17" s="77"/>
      <c r="V17" s="77"/>
      <c r="W17" s="77"/>
      <c r="X17" s="77"/>
      <c r="Y17" s="77"/>
    </row>
    <row r="18" spans="1:25" ht="16.5">
      <c r="A18" s="77"/>
      <c r="B18" s="149" t="s">
        <v>48</v>
      </c>
      <c r="C18" s="80"/>
      <c r="D18" s="78">
        <v>67.21</v>
      </c>
      <c r="E18" s="79" t="s">
        <v>91</v>
      </c>
      <c r="F18" s="82"/>
      <c r="G18" s="80"/>
      <c r="H18" s="78"/>
      <c r="I18" s="264"/>
      <c r="J18" s="77"/>
      <c r="K18" s="77"/>
      <c r="L18" s="145" t="s">
        <v>83</v>
      </c>
      <c r="M18" s="81"/>
      <c r="N18" s="36">
        <v>100</v>
      </c>
      <c r="O18" s="77"/>
      <c r="P18" s="77"/>
      <c r="Q18" s="77"/>
      <c r="R18" s="77"/>
      <c r="S18" s="77"/>
      <c r="T18" s="77"/>
      <c r="U18" s="77"/>
      <c r="V18" s="77"/>
      <c r="W18" s="77"/>
      <c r="X18" s="77"/>
      <c r="Y18" s="77"/>
    </row>
    <row r="19" spans="1:25" ht="16.5">
      <c r="A19" s="77"/>
      <c r="B19" s="149" t="s">
        <v>49</v>
      </c>
      <c r="C19" s="80"/>
      <c r="D19" s="78">
        <v>10.84</v>
      </c>
      <c r="E19" s="79" t="s">
        <v>92</v>
      </c>
      <c r="F19" s="82"/>
      <c r="G19" s="80"/>
      <c r="H19" s="78"/>
      <c r="I19" s="264"/>
      <c r="J19" s="77"/>
      <c r="K19" s="77"/>
      <c r="L19" s="77"/>
      <c r="M19" s="77"/>
      <c r="N19" s="77"/>
      <c r="O19" s="77"/>
      <c r="P19" s="77"/>
      <c r="Q19" s="77"/>
      <c r="R19" s="77"/>
      <c r="S19" s="77"/>
      <c r="T19" s="77"/>
      <c r="U19" s="77"/>
      <c r="V19" s="77"/>
      <c r="W19" s="77"/>
      <c r="X19" s="77"/>
      <c r="Y19" s="77"/>
    </row>
    <row r="20" spans="1:25" ht="16.5">
      <c r="A20" s="77"/>
      <c r="B20" s="149" t="s">
        <v>55</v>
      </c>
      <c r="C20" s="80"/>
      <c r="D20" s="78">
        <v>3.7</v>
      </c>
      <c r="E20" s="79" t="s">
        <v>93</v>
      </c>
      <c r="F20" s="82"/>
      <c r="G20" s="80"/>
      <c r="H20" s="77"/>
      <c r="I20" s="77"/>
      <c r="J20" s="77"/>
      <c r="K20" s="77"/>
      <c r="L20" s="77" t="s">
        <v>152</v>
      </c>
      <c r="M20" s="77"/>
      <c r="N20" s="77"/>
      <c r="O20" s="77"/>
      <c r="P20" s="77"/>
      <c r="Q20" s="77"/>
      <c r="R20" s="77"/>
      <c r="S20" s="77"/>
      <c r="T20" s="77"/>
      <c r="U20" s="77"/>
      <c r="V20" s="77"/>
      <c r="W20" s="77"/>
      <c r="X20" s="77"/>
      <c r="Y20" s="77"/>
    </row>
    <row r="21" spans="1:25" ht="16.5">
      <c r="A21" s="77"/>
      <c r="B21" s="145" t="s">
        <v>51</v>
      </c>
      <c r="C21" s="80"/>
      <c r="D21" s="78">
        <v>20</v>
      </c>
      <c r="E21" s="77"/>
      <c r="F21" s="79" t="s">
        <v>84</v>
      </c>
      <c r="G21" s="81"/>
      <c r="H21" s="77"/>
      <c r="I21" s="77"/>
      <c r="J21" s="77"/>
      <c r="K21" s="77"/>
      <c r="L21" s="145" t="s">
        <v>44</v>
      </c>
      <c r="M21" s="244"/>
      <c r="N21" s="78">
        <v>12.57</v>
      </c>
      <c r="O21" s="77"/>
      <c r="P21" s="77"/>
      <c r="Q21" s="77"/>
      <c r="R21" s="77"/>
      <c r="S21" s="77"/>
      <c r="T21" s="77"/>
      <c r="U21" s="77"/>
      <c r="V21" s="77"/>
      <c r="W21" s="77"/>
      <c r="X21" s="77"/>
      <c r="Y21" s="77"/>
    </row>
    <row r="22" spans="1:25" ht="16.5">
      <c r="A22" s="77"/>
      <c r="B22" s="145" t="s">
        <v>52</v>
      </c>
      <c r="C22" s="80"/>
      <c r="D22" s="78">
        <v>20</v>
      </c>
      <c r="E22" s="77"/>
      <c r="F22" s="79" t="s">
        <v>78</v>
      </c>
      <c r="G22" s="80"/>
      <c r="H22" s="77"/>
      <c r="I22" s="77"/>
      <c r="J22" s="77"/>
      <c r="K22" s="77"/>
      <c r="L22" s="145" t="s">
        <v>43</v>
      </c>
      <c r="M22" s="81"/>
      <c r="N22" s="76">
        <v>50</v>
      </c>
      <c r="O22" s="77"/>
      <c r="P22" s="77"/>
      <c r="Q22" s="77"/>
      <c r="R22" s="77"/>
      <c r="S22" s="77"/>
      <c r="T22" s="77"/>
      <c r="U22" s="77"/>
      <c r="V22" s="77"/>
      <c r="W22" s="77"/>
      <c r="X22" s="77"/>
      <c r="Y22" s="77"/>
    </row>
    <row r="23" spans="1:25" ht="16.5">
      <c r="A23" s="77"/>
      <c r="B23" s="145" t="s">
        <v>53</v>
      </c>
      <c r="C23" s="80"/>
      <c r="D23" s="78">
        <v>30</v>
      </c>
      <c r="F23" s="77"/>
      <c r="G23" s="77"/>
      <c r="H23" s="83"/>
      <c r="I23" s="265" t="s">
        <v>159</v>
      </c>
      <c r="J23" s="83"/>
      <c r="K23" s="83"/>
      <c r="L23" s="145" t="s">
        <v>45</v>
      </c>
      <c r="M23" s="244"/>
      <c r="N23" s="242">
        <v>6.53</v>
      </c>
      <c r="O23" s="77"/>
      <c r="P23" s="77"/>
      <c r="Q23" s="77"/>
      <c r="R23" s="77"/>
      <c r="S23" s="77"/>
      <c r="T23" s="77"/>
      <c r="U23" s="77"/>
      <c r="V23" s="77"/>
      <c r="W23" s="77"/>
      <c r="X23" s="77"/>
      <c r="Y23" s="77"/>
    </row>
    <row r="24" spans="1:25" ht="16.5">
      <c r="A24" s="77"/>
      <c r="B24" s="145" t="s">
        <v>54</v>
      </c>
      <c r="C24" s="80"/>
      <c r="D24" s="78">
        <v>14.64</v>
      </c>
      <c r="E24" s="77"/>
      <c r="F24" s="125" t="s">
        <v>98</v>
      </c>
      <c r="G24" s="124"/>
      <c r="H24" s="84"/>
      <c r="I24" s="265"/>
      <c r="J24" s="84"/>
      <c r="K24" s="83"/>
      <c r="L24" s="145" t="s">
        <v>83</v>
      </c>
      <c r="M24" s="81"/>
      <c r="N24" s="36">
        <v>200</v>
      </c>
      <c r="O24" s="77"/>
      <c r="P24" s="77"/>
      <c r="Q24" s="77"/>
      <c r="R24" s="77"/>
      <c r="S24" s="77"/>
      <c r="T24" s="77"/>
      <c r="U24" s="77"/>
      <c r="V24" s="77"/>
      <c r="W24" s="77"/>
      <c r="X24" s="77"/>
      <c r="Y24" s="77"/>
    </row>
    <row r="25" spans="1:25" ht="16.5">
      <c r="A25" s="77"/>
      <c r="B25" s="145" t="s">
        <v>73</v>
      </c>
      <c r="C25" s="80"/>
      <c r="D25" s="78">
        <v>38.67</v>
      </c>
      <c r="E25" s="77"/>
      <c r="F25" s="77"/>
      <c r="G25" s="77"/>
      <c r="H25" s="84"/>
      <c r="I25" s="77"/>
      <c r="J25" s="77"/>
      <c r="K25" s="83"/>
      <c r="L25" s="77"/>
      <c r="M25" s="77"/>
      <c r="N25" s="77"/>
      <c r="O25" s="77"/>
      <c r="P25" s="77"/>
      <c r="Q25" s="77"/>
      <c r="R25" s="77"/>
      <c r="S25" s="77"/>
      <c r="T25" s="77"/>
      <c r="U25" s="77"/>
      <c r="V25" s="77"/>
      <c r="W25" s="77"/>
      <c r="X25" s="77"/>
      <c r="Y25" s="77"/>
    </row>
    <row r="26" spans="1:25" ht="16.5">
      <c r="A26" s="77"/>
      <c r="B26" s="77"/>
      <c r="C26" s="77"/>
      <c r="D26" s="77"/>
      <c r="E26" s="77"/>
      <c r="F26" s="77"/>
      <c r="G26" s="77"/>
      <c r="H26" s="77"/>
      <c r="I26" s="77"/>
      <c r="J26" s="77"/>
      <c r="K26" s="77"/>
      <c r="L26" s="77"/>
      <c r="M26" s="77"/>
      <c r="N26" s="77"/>
      <c r="O26" s="77"/>
      <c r="P26" s="77"/>
      <c r="Q26" s="77"/>
      <c r="R26" s="77"/>
      <c r="S26" s="77"/>
      <c r="T26" s="77"/>
      <c r="U26" s="77"/>
      <c r="V26" s="77"/>
      <c r="W26" s="77"/>
      <c r="X26" s="77"/>
      <c r="Y26" s="77"/>
    </row>
    <row r="27" spans="1:11" ht="16.5">
      <c r="A27" s="77"/>
      <c r="B27" s="77"/>
      <c r="C27" s="77"/>
      <c r="D27" s="77"/>
      <c r="E27" s="77"/>
      <c r="F27" s="77"/>
      <c r="G27" s="77"/>
      <c r="H27" s="77"/>
      <c r="I27" s="77"/>
      <c r="J27" s="77"/>
      <c r="K27" s="77"/>
    </row>
    <row r="28" spans="1:11" ht="16.5">
      <c r="A28" s="77"/>
      <c r="B28" s="77"/>
      <c r="C28" s="77"/>
      <c r="D28" s="77"/>
      <c r="E28" s="77"/>
      <c r="F28" s="77"/>
      <c r="G28" s="77"/>
      <c r="H28" s="77"/>
      <c r="I28" s="77"/>
      <c r="J28" s="77"/>
      <c r="K28" s="77"/>
    </row>
  </sheetData>
  <sheetProtection sheet="1" objects="1" scenarios="1"/>
  <mergeCells count="3">
    <mergeCell ref="P5:P12"/>
    <mergeCell ref="I14:I19"/>
    <mergeCell ref="I23:I24"/>
  </mergeCells>
  <conditionalFormatting sqref="C10:C25 C2:C3 C5 C7 G3:G22 M3:M6 M15:M18 M9:M12 M21:M24">
    <cfRule type="cellIs" priority="1" dxfId="0" operator="greaterThan" stopIfTrue="1">
      <formula>0</formula>
    </cfRule>
  </conditionalFormatting>
  <conditionalFormatting sqref="G24">
    <cfRule type="cellIs" priority="2" dxfId="0" operator="notEqual" stopIfTrue="1">
      <formula>""</formula>
    </cfRule>
  </conditionalFormatting>
  <printOptions/>
  <pageMargins left="0.5" right="0.5" top="1" bottom="1" header="0.5" footer="0.5"/>
  <pageSetup fitToHeight="1" fitToWidth="1" horizontalDpi="300" verticalDpi="300" orientation="landscape" scale="69" r:id="rId4"/>
  <drawing r:id="rId3"/>
  <legacyDrawing r:id="rId2"/>
</worksheet>
</file>

<file path=xl/worksheets/sheet3.xml><?xml version="1.0" encoding="utf-8"?>
<worksheet xmlns="http://schemas.openxmlformats.org/spreadsheetml/2006/main" xmlns:r="http://schemas.openxmlformats.org/officeDocument/2006/relationships">
  <dimension ref="A1:Q67"/>
  <sheetViews>
    <sheetView workbookViewId="0" topLeftCell="A1">
      <selection activeCell="C2" sqref="C2"/>
    </sheetView>
  </sheetViews>
  <sheetFormatPr defaultColWidth="9.140625" defaultRowHeight="12.75"/>
  <cols>
    <col min="1" max="1" width="2.7109375" style="127" customWidth="1"/>
    <col min="2" max="2" width="18.00390625" style="127" bestFit="1" customWidth="1"/>
    <col min="3" max="4" width="17.8515625" style="127" customWidth="1"/>
    <col min="5" max="5" width="3.140625" style="127" customWidth="1"/>
    <col min="6" max="6" width="18.7109375" style="129" customWidth="1"/>
    <col min="7" max="7" width="2.00390625" style="127" customWidth="1"/>
    <col min="8" max="8" width="12.00390625" style="127" bestFit="1" customWidth="1"/>
    <col min="9" max="9" width="10.7109375" style="127" customWidth="1"/>
    <col min="10" max="10" width="13.28125" style="127" customWidth="1"/>
    <col min="11" max="11" width="11.7109375" style="127" customWidth="1"/>
    <col min="12" max="12" width="8.57421875" style="127" customWidth="1"/>
    <col min="13" max="13" width="12.00390625" style="127" customWidth="1"/>
    <col min="14" max="14" width="10.7109375" style="127" customWidth="1"/>
    <col min="15" max="15" width="13.28125" style="127" customWidth="1"/>
    <col min="16" max="16" width="11.7109375" style="127" customWidth="1"/>
    <col min="17" max="16384" width="9.140625" style="127" customWidth="1"/>
  </cols>
  <sheetData>
    <row r="1" spans="1:16" ht="12">
      <c r="A1" s="126"/>
      <c r="B1" s="126"/>
      <c r="C1" s="126"/>
      <c r="D1" s="126"/>
      <c r="E1" s="126"/>
      <c r="F1" s="126"/>
      <c r="G1" s="126"/>
      <c r="H1" s="126" t="s">
        <v>129</v>
      </c>
      <c r="I1" s="126"/>
      <c r="J1" s="126"/>
      <c r="K1" s="126"/>
      <c r="L1" s="126"/>
      <c r="M1" s="126"/>
      <c r="O1" s="126"/>
      <c r="P1" s="126"/>
    </row>
    <row r="2" spans="1:16" ht="18">
      <c r="A2" s="126"/>
      <c r="B2" s="134" t="s">
        <v>108</v>
      </c>
      <c r="C2" s="231"/>
      <c r="D2" s="277" t="s">
        <v>113</v>
      </c>
      <c r="E2" s="278"/>
      <c r="F2" s="231"/>
      <c r="G2" s="126"/>
      <c r="H2" s="135" t="s">
        <v>108</v>
      </c>
      <c r="I2" s="161" t="s">
        <v>99</v>
      </c>
      <c r="J2" s="135" t="s">
        <v>113</v>
      </c>
      <c r="K2" s="159" t="s">
        <v>107</v>
      </c>
      <c r="L2" s="128"/>
      <c r="M2" s="131"/>
      <c r="N2" s="131"/>
      <c r="O2" s="131"/>
      <c r="P2" s="126"/>
    </row>
    <row r="3" spans="1:16" ht="18">
      <c r="A3" s="126"/>
      <c r="B3" s="134" t="s">
        <v>109</v>
      </c>
      <c r="C3" s="231"/>
      <c r="D3" s="277" t="s">
        <v>114</v>
      </c>
      <c r="E3" s="279"/>
      <c r="F3" s="231"/>
      <c r="G3" s="126"/>
      <c r="H3" s="135" t="s">
        <v>109</v>
      </c>
      <c r="I3" s="159" t="s">
        <v>100</v>
      </c>
      <c r="J3" s="135" t="s">
        <v>114</v>
      </c>
      <c r="K3" s="159" t="s">
        <v>103</v>
      </c>
      <c r="L3" s="128"/>
      <c r="M3" s="132"/>
      <c r="N3" s="131"/>
      <c r="O3" s="131"/>
      <c r="P3" s="126"/>
    </row>
    <row r="4" spans="1:16" ht="18">
      <c r="A4" s="126"/>
      <c r="B4" s="134" t="s">
        <v>110</v>
      </c>
      <c r="C4" s="231"/>
      <c r="D4" s="277" t="s">
        <v>115</v>
      </c>
      <c r="E4" s="279"/>
      <c r="F4" s="231"/>
      <c r="G4" s="126"/>
      <c r="H4" s="135" t="s">
        <v>110</v>
      </c>
      <c r="I4" s="159" t="s">
        <v>101</v>
      </c>
      <c r="J4" s="135" t="s">
        <v>115</v>
      </c>
      <c r="K4" s="159" t="s">
        <v>104</v>
      </c>
      <c r="L4" s="128"/>
      <c r="M4" s="133"/>
      <c r="N4" s="131"/>
      <c r="O4" s="131"/>
      <c r="P4" s="126"/>
    </row>
    <row r="5" spans="1:16" ht="18">
      <c r="A5" s="126"/>
      <c r="B5" s="134" t="s">
        <v>111</v>
      </c>
      <c r="C5" s="231"/>
      <c r="D5" s="277" t="s">
        <v>145</v>
      </c>
      <c r="E5" s="279"/>
      <c r="F5" s="231"/>
      <c r="G5" s="126"/>
      <c r="H5" s="135" t="s">
        <v>111</v>
      </c>
      <c r="I5" s="159" t="s">
        <v>117</v>
      </c>
      <c r="J5" s="135" t="s">
        <v>145</v>
      </c>
      <c r="K5" s="159" t="s">
        <v>146</v>
      </c>
      <c r="L5" s="128"/>
      <c r="M5" s="133"/>
      <c r="N5" s="131"/>
      <c r="O5" s="131"/>
      <c r="P5" s="126"/>
    </row>
    <row r="6" spans="1:16" ht="18">
      <c r="A6" s="126"/>
      <c r="B6" s="150" t="s">
        <v>119</v>
      </c>
      <c r="C6" s="236"/>
      <c r="D6" s="277" t="s">
        <v>116</v>
      </c>
      <c r="E6" s="279"/>
      <c r="F6" s="231"/>
      <c r="G6" s="126"/>
      <c r="H6" s="135" t="s">
        <v>112</v>
      </c>
      <c r="I6" s="159" t="s">
        <v>102</v>
      </c>
      <c r="J6" s="135" t="s">
        <v>116</v>
      </c>
      <c r="K6" s="159" t="s">
        <v>106</v>
      </c>
      <c r="L6" s="128"/>
      <c r="M6" s="133"/>
      <c r="N6" s="131"/>
      <c r="O6" s="131"/>
      <c r="P6" s="126"/>
    </row>
    <row r="7" spans="1:16" ht="18">
      <c r="A7" s="126"/>
      <c r="B7" s="134" t="s">
        <v>120</v>
      </c>
      <c r="C7" s="160"/>
      <c r="D7" s="277" t="s">
        <v>118</v>
      </c>
      <c r="E7" s="279"/>
      <c r="F7" s="231"/>
      <c r="G7" s="126"/>
      <c r="H7" s="135" t="s">
        <v>120</v>
      </c>
      <c r="I7" s="163">
        <f ca="1">TODAY()</f>
        <v>37465</v>
      </c>
      <c r="J7" s="135" t="s">
        <v>118</v>
      </c>
      <c r="K7" s="159" t="s">
        <v>105</v>
      </c>
      <c r="L7" s="128"/>
      <c r="M7" s="128"/>
      <c r="N7" s="131"/>
      <c r="O7" s="131"/>
      <c r="P7" s="126"/>
    </row>
    <row r="8" spans="1:16" ht="12.75">
      <c r="A8" s="126"/>
      <c r="B8" s="247"/>
      <c r="C8" s="248"/>
      <c r="D8" s="248"/>
      <c r="E8" s="248"/>
      <c r="F8" s="249"/>
      <c r="G8" s="126"/>
      <c r="H8" s="275" t="s">
        <v>121</v>
      </c>
      <c r="I8" s="276"/>
      <c r="J8" s="276"/>
      <c r="K8" s="276"/>
      <c r="L8" s="130"/>
      <c r="M8" s="131"/>
      <c r="N8" s="131"/>
      <c r="O8" s="131"/>
      <c r="P8" s="126"/>
    </row>
    <row r="9" spans="1:16" ht="12.75" customHeight="1">
      <c r="A9" s="126"/>
      <c r="B9" s="268"/>
      <c r="C9" s="269"/>
      <c r="D9" s="269"/>
      <c r="E9" s="269"/>
      <c r="F9" s="270"/>
      <c r="G9" s="126"/>
      <c r="H9" s="276"/>
      <c r="I9" s="276"/>
      <c r="J9" s="276"/>
      <c r="K9" s="276"/>
      <c r="L9" s="130"/>
      <c r="M9" s="126"/>
      <c r="N9" s="126"/>
      <c r="O9" s="126"/>
      <c r="P9" s="126"/>
    </row>
    <row r="10" spans="1:16" ht="12.75" customHeight="1">
      <c r="A10" s="126"/>
      <c r="B10" s="271"/>
      <c r="C10" s="272"/>
      <c r="D10" s="272"/>
      <c r="E10" s="272"/>
      <c r="F10" s="273"/>
      <c r="G10" s="126"/>
      <c r="H10" s="276"/>
      <c r="I10" s="276"/>
      <c r="J10" s="276"/>
      <c r="K10" s="276"/>
      <c r="L10" s="130"/>
      <c r="M10" s="126"/>
      <c r="N10" s="126"/>
      <c r="O10" s="126"/>
      <c r="P10" s="126"/>
    </row>
    <row r="11" spans="1:16" ht="14.25" customHeight="1" thickBot="1">
      <c r="A11" s="126"/>
      <c r="B11" s="126"/>
      <c r="C11" s="126"/>
      <c r="D11" s="126"/>
      <c r="E11" s="126"/>
      <c r="F11" s="126"/>
      <c r="G11" s="126"/>
      <c r="H11" s="126"/>
      <c r="I11" s="126"/>
      <c r="J11" s="126"/>
      <c r="K11" s="126"/>
      <c r="L11" s="126"/>
      <c r="M11" s="126"/>
      <c r="N11" s="126"/>
      <c r="O11" s="126"/>
      <c r="P11" s="126"/>
    </row>
    <row r="12" spans="1:16" ht="13.5" customHeight="1" thickTop="1">
      <c r="A12" s="126"/>
      <c r="B12" s="126"/>
      <c r="C12" s="280"/>
      <c r="D12" s="281"/>
      <c r="E12" s="142"/>
      <c r="F12" s="126"/>
      <c r="G12" s="126"/>
      <c r="H12" s="126"/>
      <c r="I12" s="126"/>
      <c r="J12" s="126"/>
      <c r="K12" s="126"/>
      <c r="L12" s="126"/>
      <c r="M12" s="126"/>
      <c r="N12" s="126"/>
      <c r="O12" s="126"/>
      <c r="P12" s="126"/>
    </row>
    <row r="13" spans="1:16" ht="15" customHeight="1">
      <c r="A13" s="126"/>
      <c r="B13" s="143"/>
      <c r="C13" s="223">
        <v>1</v>
      </c>
      <c r="D13" s="156">
        <v>2</v>
      </c>
      <c r="E13" s="229"/>
      <c r="G13" s="126"/>
      <c r="H13" s="126"/>
      <c r="I13" s="126"/>
      <c r="J13" s="126"/>
      <c r="K13" s="126"/>
      <c r="L13" s="126"/>
      <c r="M13" s="126"/>
      <c r="N13" s="126"/>
      <c r="O13" s="126"/>
      <c r="P13" s="126"/>
    </row>
    <row r="14" spans="1:16" ht="15" customHeight="1">
      <c r="A14" s="126"/>
      <c r="B14" s="143"/>
      <c r="C14" s="151" t="s">
        <v>122</v>
      </c>
      <c r="D14" s="152" t="s">
        <v>122</v>
      </c>
      <c r="E14" s="128"/>
      <c r="F14" s="131"/>
      <c r="G14" s="126"/>
      <c r="H14" s="126"/>
      <c r="I14" s="126"/>
      <c r="J14" s="126"/>
      <c r="K14" s="126"/>
      <c r="L14" s="126"/>
      <c r="M14" s="126"/>
      <c r="N14" s="126"/>
      <c r="O14" s="126"/>
      <c r="P14" s="126"/>
    </row>
    <row r="15" spans="1:17" ht="15" customHeight="1">
      <c r="A15" s="126"/>
      <c r="B15" s="143"/>
      <c r="C15" s="153"/>
      <c r="D15" s="154"/>
      <c r="E15" s="144"/>
      <c r="F15" s="131"/>
      <c r="G15" s="131"/>
      <c r="H15" s="131"/>
      <c r="I15" s="162" t="s">
        <v>124</v>
      </c>
      <c r="J15" s="131"/>
      <c r="K15" s="131"/>
      <c r="L15" s="131"/>
      <c r="M15" s="131"/>
      <c r="N15" s="131"/>
      <c r="O15" s="131"/>
      <c r="P15" s="131"/>
      <c r="Q15" s="137"/>
    </row>
    <row r="16" spans="1:17" ht="15" customHeight="1">
      <c r="A16" s="126"/>
      <c r="B16" s="143"/>
      <c r="C16" s="155">
        <v>3</v>
      </c>
      <c r="D16" s="156">
        <v>4</v>
      </c>
      <c r="E16" s="229"/>
      <c r="F16" s="131"/>
      <c r="G16" s="126"/>
      <c r="H16" s="141"/>
      <c r="I16" s="162" t="s">
        <v>126</v>
      </c>
      <c r="J16" s="135"/>
      <c r="K16" s="128"/>
      <c r="L16" s="128"/>
      <c r="M16" s="141"/>
      <c r="N16" s="141"/>
      <c r="O16" s="135"/>
      <c r="P16" s="128"/>
      <c r="Q16" s="137"/>
    </row>
    <row r="17" spans="1:17" ht="15" customHeight="1">
      <c r="A17" s="126"/>
      <c r="B17" s="143"/>
      <c r="C17" s="151" t="s">
        <v>122</v>
      </c>
      <c r="D17" s="152" t="s">
        <v>122</v>
      </c>
      <c r="E17" s="128"/>
      <c r="F17" s="131"/>
      <c r="G17" s="126"/>
      <c r="H17" s="132"/>
      <c r="I17" s="162" t="s">
        <v>127</v>
      </c>
      <c r="J17" s="135"/>
      <c r="K17" s="128"/>
      <c r="L17" s="128"/>
      <c r="M17" s="135"/>
      <c r="N17" s="128"/>
      <c r="O17" s="135"/>
      <c r="P17" s="128"/>
      <c r="Q17" s="137"/>
    </row>
    <row r="18" spans="1:17" ht="15" customHeight="1">
      <c r="A18" s="126"/>
      <c r="B18" s="131"/>
      <c r="C18" s="157"/>
      <c r="D18" s="154"/>
      <c r="E18" s="144"/>
      <c r="F18" s="131"/>
      <c r="G18" s="126"/>
      <c r="H18" s="126"/>
      <c r="I18" s="162" t="s">
        <v>125</v>
      </c>
      <c r="J18" s="135"/>
      <c r="K18" s="128"/>
      <c r="L18" s="128"/>
      <c r="M18" s="135"/>
      <c r="N18" s="128"/>
      <c r="O18" s="135"/>
      <c r="P18" s="128"/>
      <c r="Q18" s="137"/>
    </row>
    <row r="19" spans="1:17" ht="15" customHeight="1">
      <c r="A19" s="126"/>
      <c r="B19" s="131"/>
      <c r="C19" s="155">
        <v>5</v>
      </c>
      <c r="D19" s="156">
        <v>6</v>
      </c>
      <c r="E19" s="229"/>
      <c r="F19" s="131"/>
      <c r="G19" s="126"/>
      <c r="H19" s="135"/>
      <c r="I19" s="162" t="s">
        <v>123</v>
      </c>
      <c r="J19" s="135"/>
      <c r="K19" s="128"/>
      <c r="L19" s="128"/>
      <c r="M19" s="135"/>
      <c r="N19" s="128"/>
      <c r="O19" s="135"/>
      <c r="P19" s="128"/>
      <c r="Q19" s="137"/>
    </row>
    <row r="20" spans="1:17" ht="15" customHeight="1">
      <c r="A20" s="126"/>
      <c r="B20" s="126"/>
      <c r="C20" s="151" t="s">
        <v>122</v>
      </c>
      <c r="D20" s="152" t="s">
        <v>122</v>
      </c>
      <c r="E20" s="128"/>
      <c r="F20" s="131"/>
      <c r="G20" s="126"/>
      <c r="H20" s="135"/>
      <c r="I20" s="128"/>
      <c r="J20" s="135"/>
      <c r="K20" s="128"/>
      <c r="L20" s="128"/>
      <c r="M20" s="135"/>
      <c r="N20" s="128"/>
      <c r="O20" s="135"/>
      <c r="P20" s="128"/>
      <c r="Q20" s="137"/>
    </row>
    <row r="21" spans="1:17" ht="15" customHeight="1">
      <c r="A21" s="126"/>
      <c r="B21" s="126"/>
      <c r="C21" s="157"/>
      <c r="D21" s="154"/>
      <c r="E21" s="144"/>
      <c r="F21" s="131"/>
      <c r="G21" s="131"/>
      <c r="H21" s="274" t="s">
        <v>158</v>
      </c>
      <c r="I21" s="274"/>
      <c r="J21" s="274"/>
      <c r="K21" s="274"/>
      <c r="L21" s="128"/>
      <c r="M21" s="135"/>
      <c r="N21" s="138"/>
      <c r="O21" s="135"/>
      <c r="P21" s="128"/>
      <c r="Q21" s="137"/>
    </row>
    <row r="22" spans="1:17" ht="15" customHeight="1">
      <c r="A22" s="126"/>
      <c r="B22" s="126"/>
      <c r="C22" s="155">
        <v>7</v>
      </c>
      <c r="D22" s="156">
        <v>8</v>
      </c>
      <c r="E22" s="229"/>
      <c r="F22" s="131"/>
      <c r="G22" s="131"/>
      <c r="H22" s="274"/>
      <c r="I22" s="274"/>
      <c r="J22" s="274"/>
      <c r="K22" s="274"/>
      <c r="L22" s="136"/>
      <c r="M22" s="140"/>
      <c r="N22" s="140"/>
      <c r="O22" s="140"/>
      <c r="P22" s="140"/>
      <c r="Q22" s="137"/>
    </row>
    <row r="23" spans="1:17" ht="15" customHeight="1">
      <c r="A23" s="126"/>
      <c r="B23" s="126"/>
      <c r="C23" s="151" t="s">
        <v>122</v>
      </c>
      <c r="D23" s="152" t="s">
        <v>122</v>
      </c>
      <c r="E23" s="128"/>
      <c r="F23" s="131"/>
      <c r="G23" s="131"/>
      <c r="H23" s="140"/>
      <c r="I23" s="140"/>
      <c r="J23" s="140"/>
      <c r="K23" s="140"/>
      <c r="L23" s="136"/>
      <c r="M23" s="140"/>
      <c r="N23" s="140"/>
      <c r="O23" s="140"/>
      <c r="P23" s="140"/>
      <c r="Q23" s="137"/>
    </row>
    <row r="24" spans="1:16" ht="15" customHeight="1">
      <c r="A24" s="126"/>
      <c r="B24" s="126"/>
      <c r="C24" s="157"/>
      <c r="D24" s="154"/>
      <c r="E24" s="144"/>
      <c r="F24" s="126"/>
      <c r="G24" s="126"/>
      <c r="H24" s="237">
        <f>IF(AND(Caliber&lt;&gt;"",Label1="Y"),"Caliber:","")</f>
      </c>
      <c r="I24" s="232">
        <f>IF(AND(Caliber&lt;&gt;"",Label1="Y"),Caliber,"")</f>
      </c>
      <c r="J24" s="238">
        <f>IF(AND(PowderType&lt;&gt;"",Label1="Y"),"Powder Type:","")</f>
      </c>
      <c r="K24" s="233">
        <f>IF(AND(PowderType&lt;&gt;"",Label1="Y"),PowderType,"")</f>
      </c>
      <c r="L24" s="128"/>
      <c r="M24" s="233">
        <f>IF(AND(Caliber&lt;&gt;"",Label2="Y"),"Caliber:","")</f>
      </c>
      <c r="N24" s="232">
        <f>IF(AND(Caliber&lt;&gt;"",Label2="Y"),Caliber,"")</f>
      </c>
      <c r="O24" s="238">
        <f>IF(AND(PowderType&lt;&gt;"",Label2="Y"),"Powder Type:","")</f>
      </c>
      <c r="P24" s="233">
        <f>IF(AND(PowderType&lt;&gt;"",Label2="Y"),PowderType,"")</f>
      </c>
    </row>
    <row r="25" spans="2:16" ht="15" customHeight="1">
      <c r="B25" s="126"/>
      <c r="C25" s="155">
        <v>9</v>
      </c>
      <c r="D25" s="156">
        <v>10</v>
      </c>
      <c r="E25" s="229"/>
      <c r="F25" s="126"/>
      <c r="G25" s="126"/>
      <c r="H25" s="238">
        <f>IF(AND(CaseType&lt;&gt;"",Label1="Y"),"Case Type:","")</f>
      </c>
      <c r="I25" s="233">
        <f>IF(AND(CaseType&lt;&gt;"",Label1="Y"),CaseType,"")</f>
      </c>
      <c r="J25" s="238">
        <f>IF(AND(PowderWeight&lt;&gt;"",Label1="Y"),"Powder Weight:","")</f>
      </c>
      <c r="K25" s="233">
        <f>IF(AND(PowderWeight&lt;&gt;"",Label1="Y"),PowderWeight,"")</f>
      </c>
      <c r="L25" s="128"/>
      <c r="M25" s="238">
        <f>IF(AND(CaseType&lt;&gt;"",Label2="Y"),"Case Type:","")</f>
      </c>
      <c r="N25" s="233">
        <f>IF(AND(CaseType&lt;&gt;"",Label2="Y"),CaseType,"")</f>
      </c>
      <c r="O25" s="238">
        <f>IF(AND(PowderWeight&lt;&gt;"",Label2="Y"),"Powder Weight:","")</f>
      </c>
      <c r="P25" s="233">
        <f>IF(AND(PowderWeight&lt;&gt;"",Label2="Y"),PowderWeight,"")</f>
      </c>
    </row>
    <row r="26" spans="1:16" ht="15" customHeight="1">
      <c r="A26" s="126"/>
      <c r="B26" s="126"/>
      <c r="C26" s="151" t="s">
        <v>122</v>
      </c>
      <c r="D26" s="152" t="s">
        <v>122</v>
      </c>
      <c r="E26" s="128"/>
      <c r="F26" s="126"/>
      <c r="G26" s="126"/>
      <c r="H26" s="238">
        <f>IF(AND(BulletBrand&lt;&gt;"",Label1="Y"),"Bullet Brand:","")</f>
      </c>
      <c r="I26" s="233">
        <f>IF(AND(BulletBrand&lt;&gt;"",Label1="Y"),BulletBrand,"")</f>
      </c>
      <c r="J26" s="238">
        <f>IF(AND(PrimerBrand&lt;&gt;"",Label1="Y"),"Primer Brand:","")</f>
      </c>
      <c r="K26" s="233">
        <f>IF(AND(PrimerBrand&lt;&gt;"",Label1="Y"),PrimerBrand,"")</f>
      </c>
      <c r="L26" s="128"/>
      <c r="M26" s="238">
        <f>IF(AND(BulletBrand&lt;&gt;"",Label2="Y"),"Bullet Brand:","")</f>
      </c>
      <c r="N26" s="233">
        <f>IF(AND(BulletBrand&lt;&gt;"",Label2="Y"),BulletBrand,"")</f>
      </c>
      <c r="O26" s="238">
        <f>IF(AND(PrimerBrand&lt;&gt;"",Label2="Y"),"Primer Brand:","")</f>
      </c>
      <c r="P26" s="233">
        <f>IF(AND(PrimerBrand&lt;&gt;"",Label2="Y"),PrimerBrand,"")</f>
      </c>
    </row>
    <row r="27" spans="1:16" ht="15" customHeight="1">
      <c r="A27" s="126"/>
      <c r="B27" s="126"/>
      <c r="C27" s="224"/>
      <c r="D27" s="225"/>
      <c r="E27" s="144"/>
      <c r="F27" s="126"/>
      <c r="G27" s="126"/>
      <c r="H27" s="238">
        <f>IF(AND(BulletType&lt;&gt;"",Label1="Y"),"Bullet Type:","")</f>
      </c>
      <c r="I27" s="233">
        <f>IF(AND(BulletType&lt;&gt;"",Label1="Y"),BulletType,"")</f>
      </c>
      <c r="J27" s="238">
        <f>IF(AND(PrimerType&lt;&gt;"",Label1="Y"),"Primer Type/Lot:","")</f>
      </c>
      <c r="K27" s="233">
        <f>IF(AND(PrimerType&lt;&gt;"",Label1="Y"),PrimerType,"")</f>
      </c>
      <c r="L27" s="128"/>
      <c r="M27" s="238">
        <f>IF(AND(BulletType&lt;&gt;"",Label2="Y"),"Bullet Type:","")</f>
      </c>
      <c r="N27" s="233">
        <f>IF(AND(BulletType&lt;&gt;"",Label2="Y"),BulletType,"")</f>
      </c>
      <c r="O27" s="238">
        <f>IF(AND(PrimerType&lt;&gt;"",Label2="Y"),"Primer Type/Lot:","")</f>
      </c>
      <c r="P27" s="233">
        <f>IF(AND(PrimerType&lt;&gt;"",Label2="Y"),PrimerType,"")</f>
      </c>
    </row>
    <row r="28" spans="1:16" ht="15" customHeight="1" thickBot="1">
      <c r="A28" s="126"/>
      <c r="B28" s="126"/>
      <c r="C28" s="266"/>
      <c r="D28" s="267"/>
      <c r="E28" s="230"/>
      <c r="F28" s="126"/>
      <c r="G28" s="126"/>
      <c r="H28" s="238">
        <f>IF(AND(BulletWeight&lt;&gt;"",Label1="Y"),"Bullet Wt:","")</f>
      </c>
      <c r="I28" s="233">
        <f>IF(AND(BulletWeight&lt;&gt;"",Label1="Y"),BulletWeight,"")</f>
      </c>
      <c r="J28" s="238">
        <f>IF(AND(OAL&lt;&gt;"",Label1="Y"),"OAL:","")</f>
      </c>
      <c r="K28" s="233">
        <f>IF(AND(OAL&lt;&gt;"",Label1="Y"),OAL,"")</f>
      </c>
      <c r="L28" s="128"/>
      <c r="M28" s="238">
        <f>IF(AND(BulletWeight&lt;&gt;"",Label2="Y"),"Bullet Wt:","")</f>
      </c>
      <c r="N28" s="233">
        <f>IF(AND(BulletWeight&lt;&gt;"",Label2="Y"),BulletWeight,"")</f>
      </c>
      <c r="O28" s="238">
        <f>IF(AND(OAL&lt;&gt;"",Label2="Y"),"OAL:","")</f>
      </c>
      <c r="P28" s="233">
        <f>IF(AND(OAL&lt;&gt;"",Label2="Y"),OAL,"")</f>
      </c>
    </row>
    <row r="29" spans="1:16" ht="15" customHeight="1" thickTop="1">
      <c r="A29" s="126"/>
      <c r="B29" s="126"/>
      <c r="C29" s="128"/>
      <c r="D29" s="128"/>
      <c r="E29" s="128"/>
      <c r="F29" s="126"/>
      <c r="G29" s="126"/>
      <c r="H29" s="238">
        <f>IF(AND(LoadDate&lt;&gt;"",Label1="Y"),"Date:","")</f>
      </c>
      <c r="I29" s="228">
        <f>IF(AND(LoadDate&lt;&gt;"",Label1="Y"),LoadDate,"")</f>
      </c>
      <c r="J29" s="238">
        <f>IF(AND(EstVelocity&lt;&gt;"",Label1="Y"),"Est. Velocity:","")</f>
      </c>
      <c r="K29" s="233">
        <f>IF(AND(EstVelocity&lt;&gt;"",Label1="Y"),EstVelocity,"")</f>
      </c>
      <c r="L29" s="128"/>
      <c r="M29" s="238">
        <f>IF(AND(LoadDate&lt;&gt;"",Label2="Y"),"Date:","")</f>
      </c>
      <c r="N29" s="228">
        <f>IF(AND(LoadDate&lt;&gt;"",Label2="Y"),LoadDate,"")</f>
      </c>
      <c r="O29" s="238">
        <f>IF(AND(EstVelocity&lt;&gt;"",Label2="Y"),"Est. Velocity:","")</f>
      </c>
      <c r="P29" s="233">
        <f>IF(AND(EstVelocity&lt;&gt;"",Label2="Y"),EstVelocity,"")</f>
      </c>
    </row>
    <row r="30" spans="1:16" ht="15" customHeight="1">
      <c r="A30" s="126"/>
      <c r="B30" s="126"/>
      <c r="C30" s="144"/>
      <c r="D30" s="144"/>
      <c r="E30" s="144"/>
      <c r="F30" s="126"/>
      <c r="G30" s="126"/>
      <c r="H30" s="246">
        <f>IF(AND(Note1&lt;&gt;"",Label1="Y"),Note1,"")</f>
      </c>
      <c r="I30" s="246"/>
      <c r="J30" s="246"/>
      <c r="K30" s="246"/>
      <c r="L30" s="136"/>
      <c r="M30" s="246">
        <f>IF(AND(Note1&lt;&gt;"",Label2="Y"),Note1,"")</f>
      </c>
      <c r="N30" s="246"/>
      <c r="O30" s="246"/>
      <c r="P30" s="246"/>
    </row>
    <row r="31" spans="1:16" ht="15" customHeight="1">
      <c r="A31" s="126"/>
      <c r="B31" s="126"/>
      <c r="C31" s="126"/>
      <c r="D31" s="126"/>
      <c r="E31" s="126"/>
      <c r="F31" s="126"/>
      <c r="G31" s="126"/>
      <c r="H31" s="246"/>
      <c r="I31" s="246"/>
      <c r="J31" s="246"/>
      <c r="K31" s="246"/>
      <c r="L31" s="136"/>
      <c r="M31" s="246"/>
      <c r="N31" s="246"/>
      <c r="O31" s="246"/>
      <c r="P31" s="246"/>
    </row>
    <row r="32" spans="1:16" ht="30" customHeight="1">
      <c r="A32" s="126"/>
      <c r="B32" s="126"/>
      <c r="C32" s="126"/>
      <c r="D32" s="126"/>
      <c r="E32" s="126"/>
      <c r="F32" s="126"/>
      <c r="G32" s="126"/>
      <c r="H32" s="133"/>
      <c r="I32" s="133"/>
      <c r="J32" s="133"/>
      <c r="K32" s="133"/>
      <c r="L32" s="136"/>
      <c r="M32" s="133"/>
      <c r="N32" s="133"/>
      <c r="O32" s="133"/>
      <c r="P32" s="133"/>
    </row>
    <row r="33" spans="1:16" ht="15" customHeight="1">
      <c r="A33" s="126"/>
      <c r="B33" s="131"/>
      <c r="C33" s="139"/>
      <c r="D33" s="139"/>
      <c r="E33" s="139"/>
      <c r="F33" s="131"/>
      <c r="G33" s="126"/>
      <c r="H33" s="233">
        <f>IF(AND(Caliber&lt;&gt;"",Label3="Y"),"Caliber:","")</f>
      </c>
      <c r="I33" s="232">
        <f>IF(AND(Caliber&lt;&gt;"",Label3="Y"),Caliber,"")</f>
      </c>
      <c r="J33" s="238">
        <f>IF(AND(PowderType&lt;&gt;"",Label3="Y"),"Powder Type:","")</f>
      </c>
      <c r="K33" s="233">
        <f>IF(AND(PowderType&lt;&gt;"",Label3="Y"),PowderType,"")</f>
      </c>
      <c r="L33" s="128"/>
      <c r="M33" s="233">
        <f>IF(AND(Caliber&lt;&gt;"",Label4="Y"),"Caliber:","")</f>
      </c>
      <c r="N33" s="232">
        <f>IF(AND(Caliber&lt;&gt;"",Label4="Y"),Caliber,"")</f>
      </c>
      <c r="O33" s="238">
        <f>IF(AND(PowderType&lt;&gt;"",Label4="Y"),"Powder Type:","")</f>
      </c>
      <c r="P33" s="233">
        <f>IF(AND(PowderType&lt;&gt;"",Label4="Y"),PowderType,"")</f>
      </c>
    </row>
    <row r="34" spans="1:16" ht="15" customHeight="1">
      <c r="A34" s="126"/>
      <c r="B34" s="131"/>
      <c r="C34" s="142"/>
      <c r="D34" s="142"/>
      <c r="E34" s="142"/>
      <c r="F34" s="131"/>
      <c r="G34" s="126"/>
      <c r="H34" s="238">
        <f>IF(AND(CaseType&lt;&gt;"",Label3="Y"),"Case Type:","")</f>
      </c>
      <c r="I34" s="233">
        <f>IF(AND(CaseType&lt;&gt;"",Label3="Y"),CaseType,"")</f>
      </c>
      <c r="J34" s="238">
        <f>IF(AND(PowderWeight&lt;&gt;"",Label3="Y"),"Powder Weight:","")</f>
      </c>
      <c r="K34" s="233">
        <f>IF(AND(PowderWeight&lt;&gt;"",Label3="Y"),PowderWeight,"")</f>
      </c>
      <c r="L34" s="128"/>
      <c r="M34" s="238">
        <f>IF(AND(CaseType&lt;&gt;"",Label4="Y"),"Case Type:","")</f>
      </c>
      <c r="N34" s="233">
        <f>IF(AND(CaseType&lt;&gt;"",Label4="Y"),CaseType,"")</f>
      </c>
      <c r="O34" s="238">
        <f>IF(AND(PowderWeight&lt;&gt;"",Label4="Y"),"Powder Weight:","")</f>
      </c>
      <c r="P34" s="233">
        <f>IF(AND(PowderWeight&lt;&gt;"",Label4="Y"),PowderWeight,"")</f>
      </c>
    </row>
    <row r="35" spans="1:16" ht="15" customHeight="1">
      <c r="A35" s="126"/>
      <c r="B35" s="131"/>
      <c r="C35" s="142"/>
      <c r="D35" s="142"/>
      <c r="E35" s="142"/>
      <c r="F35" s="131"/>
      <c r="G35" s="126"/>
      <c r="H35" s="238">
        <f>IF(AND(BulletBrand&lt;&gt;"",Label3="Y"),"Bullet Brand:","")</f>
      </c>
      <c r="I35" s="233">
        <f>IF(AND(BulletBrand&lt;&gt;"",Label3="Y"),BulletBrand,"")</f>
      </c>
      <c r="J35" s="238">
        <f>IF(AND(PrimerBrand&lt;&gt;"",Label3="Y"),"Primer Brand:","")</f>
      </c>
      <c r="K35" s="233">
        <f>IF(AND(PrimerBrand&lt;&gt;"",Label3="Y"),PrimerBrand,"")</f>
      </c>
      <c r="L35" s="128"/>
      <c r="M35" s="238">
        <f>IF(AND(BulletBrand&lt;&gt;"",Label4="Y"),"Bullet Brand:","")</f>
      </c>
      <c r="N35" s="233">
        <f>IF(AND(BulletBrand&lt;&gt;"",Label4="Y"),BulletBrand,"")</f>
      </c>
      <c r="O35" s="238">
        <f>IF(AND(PrimerBrand&lt;&gt;"",Label4="Y"),"Primer Brand:","")</f>
      </c>
      <c r="P35" s="233">
        <f>IF(AND(PrimerBrand&lt;&gt;"",Label4="Y"),PrimerBrand,"")</f>
      </c>
    </row>
    <row r="36" spans="1:16" ht="15" customHeight="1">
      <c r="A36" s="126"/>
      <c r="B36" s="131"/>
      <c r="C36" s="131"/>
      <c r="D36" s="131"/>
      <c r="E36" s="131"/>
      <c r="F36" s="131"/>
      <c r="G36" s="126"/>
      <c r="H36" s="238">
        <f>IF(AND(BulletType&lt;&gt;"",Label3="Y"),"Bullet Type:","")</f>
      </c>
      <c r="I36" s="233">
        <f>IF(AND(BulletType&lt;&gt;"",Label3="Y"),BulletType,"")</f>
      </c>
      <c r="J36" s="238">
        <f>IF(AND(PrimerType&lt;&gt;"",Label3="Y"),"Primer Type/Lot:","")</f>
      </c>
      <c r="K36" s="233">
        <f>IF(AND(PrimerType&lt;&gt;"",Label3="Y"),PrimerType,"")</f>
      </c>
      <c r="L36" s="128"/>
      <c r="M36" s="238">
        <f>IF(AND(BulletType&lt;&gt;"",Label4="Y"),"Bullet Type:","")</f>
      </c>
      <c r="N36" s="233">
        <f>IF(AND(BulletType&lt;&gt;"",Label4="Y"),BulletType,"")</f>
      </c>
      <c r="O36" s="238">
        <f>IF(AND(PrimerType&lt;&gt;"",Label4="Y"),"Primer Type/Lot:","")</f>
      </c>
      <c r="P36" s="233">
        <f>IF(AND(PrimerType&lt;&gt;"",Label4="Y"),PrimerType,"")</f>
      </c>
    </row>
    <row r="37" spans="1:16" ht="15" customHeight="1">
      <c r="A37" s="126"/>
      <c r="B37" s="131"/>
      <c r="C37" s="131"/>
      <c r="D37" s="131"/>
      <c r="E37" s="131"/>
      <c r="F37" s="131"/>
      <c r="G37" s="126"/>
      <c r="H37" s="238">
        <f>IF(AND(BulletWeight&lt;&gt;"",Label3="Y"),"Bullet Wt:","")</f>
      </c>
      <c r="I37" s="233">
        <f>IF(AND(BulletWeight&lt;&gt;"",Label3="Y"),BulletWeight,"")</f>
      </c>
      <c r="J37" s="238">
        <f>IF(AND(OAL&lt;&gt;"",Label3="Y"),"OAL:","")</f>
      </c>
      <c r="K37" s="233">
        <f>IF(AND(OAL&lt;&gt;"",Label3="Y"),OAL,"")</f>
      </c>
      <c r="L37" s="128"/>
      <c r="M37" s="238">
        <f>IF(AND(BulletWeight&lt;&gt;"",Label4="Y"),"Bullet Wt:","")</f>
      </c>
      <c r="N37" s="233">
        <f>IF(AND(BulletWeight&lt;&gt;"",Label4="Y"),BulletWeight,"")</f>
      </c>
      <c r="O37" s="238">
        <f>IF(AND(OAL&lt;&gt;"",Label4="Y"),"OAL:","")</f>
      </c>
      <c r="P37" s="233">
        <f>IF(AND(OAL&lt;&gt;"",Label4="Y"),OAL,"")</f>
      </c>
    </row>
    <row r="38" spans="1:16" ht="15" customHeight="1">
      <c r="A38" s="126"/>
      <c r="B38" s="126"/>
      <c r="C38" s="126"/>
      <c r="D38" s="126"/>
      <c r="E38" s="126"/>
      <c r="F38" s="126"/>
      <c r="G38" s="126"/>
      <c r="H38" s="238">
        <f>IF(AND(LoadDate&lt;&gt;"",Label3="Y"),"Date:","")</f>
      </c>
      <c r="I38" s="228">
        <f>IF(AND(LoadDate&lt;&gt;"",Label3="Y"),LoadDate,"")</f>
      </c>
      <c r="J38" s="238">
        <f>IF(AND(EstVelocity&lt;&gt;"",Label3="Y"),"Est. Velocity:","")</f>
      </c>
      <c r="K38" s="233">
        <f>IF(AND(EstVelocity&lt;&gt;"",Label3="Y"),EstVelocity,"")</f>
      </c>
      <c r="L38" s="128"/>
      <c r="M38" s="238">
        <f>IF(AND(LoadDate&lt;&gt;"",Label4="Y"),"Date:","")</f>
      </c>
      <c r="N38" s="228">
        <f>IF(AND(LoadDate&lt;&gt;"",Label4="Y"),LoadDate,"")</f>
      </c>
      <c r="O38" s="238">
        <f>IF(AND(EstVelocity&lt;&gt;"",Label4="Y"),"Est. Velocity:","")</f>
      </c>
      <c r="P38" s="233">
        <f>IF(AND(EstVelocity&lt;&gt;"",Label4="Y"),EstVelocity,"")</f>
      </c>
    </row>
    <row r="39" spans="1:16" ht="15" customHeight="1">
      <c r="A39" s="126"/>
      <c r="B39" s="126"/>
      <c r="C39" s="126"/>
      <c r="D39" s="126"/>
      <c r="E39" s="126"/>
      <c r="F39" s="126"/>
      <c r="G39" s="126"/>
      <c r="H39" s="246">
        <f>IF(AND(Note1&lt;&gt;"",Label3="Y"),Note1,"")</f>
      </c>
      <c r="I39" s="246"/>
      <c r="J39" s="246"/>
      <c r="K39" s="246"/>
      <c r="L39" s="136"/>
      <c r="M39" s="246">
        <f>IF(AND(Note1&lt;&gt;"",Label4="Y"),Note1,"")</f>
      </c>
      <c r="N39" s="246"/>
      <c r="O39" s="246"/>
      <c r="P39" s="246"/>
    </row>
    <row r="40" spans="1:16" ht="15" customHeight="1">
      <c r="A40" s="126"/>
      <c r="B40" s="126"/>
      <c r="C40" s="126"/>
      <c r="D40" s="126"/>
      <c r="E40" s="126"/>
      <c r="F40" s="126"/>
      <c r="G40" s="126"/>
      <c r="H40" s="246"/>
      <c r="I40" s="246"/>
      <c r="J40" s="246"/>
      <c r="K40" s="246"/>
      <c r="L40" s="136"/>
      <c r="M40" s="246"/>
      <c r="N40" s="246"/>
      <c r="O40" s="246"/>
      <c r="P40" s="246"/>
    </row>
    <row r="41" spans="1:16" ht="30" customHeight="1">
      <c r="A41" s="126"/>
      <c r="B41" s="126"/>
      <c r="C41" s="126"/>
      <c r="D41" s="126"/>
      <c r="E41" s="126"/>
      <c r="F41" s="126"/>
      <c r="G41" s="126"/>
      <c r="H41" s="133"/>
      <c r="I41" s="133"/>
      <c r="J41" s="133"/>
      <c r="K41" s="133"/>
      <c r="L41" s="136"/>
      <c r="M41" s="133"/>
      <c r="N41" s="133"/>
      <c r="O41" s="133"/>
      <c r="P41" s="133"/>
    </row>
    <row r="42" spans="1:16" ht="15" customHeight="1">
      <c r="A42" s="126"/>
      <c r="B42" s="126"/>
      <c r="C42" s="126"/>
      <c r="D42" s="126"/>
      <c r="E42" s="126"/>
      <c r="F42" s="126"/>
      <c r="G42" s="126"/>
      <c r="H42" s="233">
        <f>IF(AND(Caliber&lt;&gt;"",Label5="Y"),"Caliber:","")</f>
      </c>
      <c r="I42" s="232">
        <f>IF(AND(Caliber&lt;&gt;"",Label5="Y"),Caliber,"")</f>
      </c>
      <c r="J42" s="238">
        <f>IF(AND(PowderType&lt;&gt;"",Label5="Y"),"Powder Type:","")</f>
      </c>
      <c r="K42" s="233">
        <f>IF(AND(PowderType&lt;&gt;"",Label5="Y"),PowderType,"")</f>
      </c>
      <c r="L42" s="128"/>
      <c r="M42" s="233">
        <f>IF(AND(Caliber&lt;&gt;"",Label6="Y"),"Caliber:","")</f>
      </c>
      <c r="N42" s="232">
        <f>IF(AND(Caliber&lt;&gt;"",Label6="Y"),Caliber,"")</f>
      </c>
      <c r="O42" s="238">
        <f>IF(AND(PowderType&lt;&gt;"",Label6="Y"),"Powder Type:","")</f>
      </c>
      <c r="P42" s="233">
        <f>IF(AND(PowderType&lt;&gt;"",Label6="Y"),PowderType,"")</f>
      </c>
    </row>
    <row r="43" spans="1:16" ht="15" customHeight="1">
      <c r="A43" s="126"/>
      <c r="B43" s="126"/>
      <c r="C43" s="126"/>
      <c r="D43" s="126"/>
      <c r="E43" s="126"/>
      <c r="F43" s="126"/>
      <c r="G43" s="126"/>
      <c r="H43" s="238">
        <f>IF(AND(CaseType&lt;&gt;"",Label5="Y"),"Case Type:","")</f>
      </c>
      <c r="I43" s="233">
        <f>IF(AND(CaseType&lt;&gt;"",Label5="Y"),CaseType,"")</f>
      </c>
      <c r="J43" s="238">
        <f>IF(AND(PowderWeight&lt;&gt;"",Label5="Y"),"Powder Weight:","")</f>
      </c>
      <c r="K43" s="233">
        <f>IF(AND(PowderWeight&lt;&gt;"",Label5="Y"),PowderWeight,"")</f>
      </c>
      <c r="L43" s="128"/>
      <c r="M43" s="238">
        <f>IF(AND(CaseType&lt;&gt;"",Label6="Y"),"Case Type:","")</f>
      </c>
      <c r="N43" s="233">
        <f>IF(AND(CaseType&lt;&gt;"",Label6="Y"),CaseType,"")</f>
      </c>
      <c r="O43" s="238">
        <f>IF(AND(PowderWeight&lt;&gt;"",Label6="Y"),"Powder Weight:","")</f>
      </c>
      <c r="P43" s="233">
        <f>IF(AND(PowderWeight&lt;&gt;"",Label6="Y"),PowderWeight,"")</f>
      </c>
    </row>
    <row r="44" spans="1:16" ht="15" customHeight="1">
      <c r="A44" s="126"/>
      <c r="B44" s="126"/>
      <c r="C44" s="126"/>
      <c r="D44" s="126"/>
      <c r="E44" s="126"/>
      <c r="F44" s="126"/>
      <c r="G44" s="126"/>
      <c r="H44" s="238">
        <f>IF(AND(BulletBrand&lt;&gt;"",Label5="Y"),"Bullet Brand:","")</f>
      </c>
      <c r="I44" s="233">
        <f>IF(AND(BulletBrand&lt;&gt;"",Label5="Y"),BulletBrand,"")</f>
      </c>
      <c r="J44" s="238">
        <f>IF(AND(PrimerBrand&lt;&gt;"",Label5="Y"),"Primer Brand:","")</f>
      </c>
      <c r="K44" s="233">
        <f>IF(AND(PrimerBrand&lt;&gt;"",Label5="Y"),PrimerBrand,"")</f>
      </c>
      <c r="L44" s="128"/>
      <c r="M44" s="238">
        <f>IF(AND(BulletBrand&lt;&gt;"",Label6="Y"),"Bullet Brand:","")</f>
      </c>
      <c r="N44" s="233">
        <f>IF(AND(BulletBrand&lt;&gt;"",Label6="Y"),BulletBrand,"")</f>
      </c>
      <c r="O44" s="238">
        <f>IF(AND(PrimerBrand&lt;&gt;"",Label6="Y"),"Primer Brand:","")</f>
      </c>
      <c r="P44" s="233">
        <f>IF(AND(PrimerBrand&lt;&gt;"",Label6="Y"),PrimerBrand,"")</f>
      </c>
    </row>
    <row r="45" spans="1:16" ht="15" customHeight="1">
      <c r="A45" s="126"/>
      <c r="B45" s="126"/>
      <c r="C45" s="126"/>
      <c r="D45" s="126"/>
      <c r="E45" s="126"/>
      <c r="F45" s="126"/>
      <c r="G45" s="126"/>
      <c r="H45" s="238">
        <f>IF(AND(BulletType&lt;&gt;"",Label5="Y"),"Bullet Type:","")</f>
      </c>
      <c r="I45" s="233">
        <f>IF(AND(BulletType&lt;&gt;"",Label5="Y"),BulletType,"")</f>
      </c>
      <c r="J45" s="238">
        <f>IF(AND(PrimerType&lt;&gt;"",Label5="Y"),"Primer Type/Lot:","")</f>
      </c>
      <c r="K45" s="233">
        <f>IF(AND(PrimerType&lt;&gt;"",Label5="Y"),PrimerType,"")</f>
      </c>
      <c r="L45" s="128"/>
      <c r="M45" s="238">
        <f>IF(AND(BulletType&lt;&gt;"",Label6="Y"),"Bullet Type:","")</f>
      </c>
      <c r="N45" s="233">
        <f>IF(AND(BulletType&lt;&gt;"",Label6="Y"),BulletType,"")</f>
      </c>
      <c r="O45" s="238">
        <f>IF(AND(PrimerType&lt;&gt;"",Label6="Y"),"Primer Type/Lot:","")</f>
      </c>
      <c r="P45" s="233">
        <f>IF(AND(PrimerType&lt;&gt;"",Label6="Y"),PrimerType,"")</f>
      </c>
    </row>
    <row r="46" spans="1:16" ht="15" customHeight="1">
      <c r="A46" s="126"/>
      <c r="B46" s="126"/>
      <c r="C46" s="126"/>
      <c r="D46" s="126"/>
      <c r="E46" s="126"/>
      <c r="F46" s="126"/>
      <c r="G46" s="126"/>
      <c r="H46" s="238">
        <f>IF(AND(BulletWeight&lt;&gt;"",Label5="Y"),"Bullet Wt:","")</f>
      </c>
      <c r="I46" s="233">
        <f>IF(AND(BulletWeight&lt;&gt;"",Label5="Y"),BulletWeight,"")</f>
      </c>
      <c r="J46" s="238">
        <f>IF(AND(OAL&lt;&gt;"",Label5="Y"),"OAL:","")</f>
      </c>
      <c r="K46" s="233">
        <f>IF(AND(OAL&lt;&gt;"",Label5="Y"),OAL,"")</f>
      </c>
      <c r="L46" s="128"/>
      <c r="M46" s="238">
        <f>IF(AND(BulletWeight&lt;&gt;"",Label6="Y"),"Bullet Wt:","")</f>
      </c>
      <c r="N46" s="233">
        <f>IF(AND(BulletWeight&lt;&gt;"",Label6="Y"),BulletWeight,"")</f>
      </c>
      <c r="O46" s="238">
        <f>IF(AND(OAL&lt;&gt;"",Label6="Y"),"OAL:","")</f>
      </c>
      <c r="P46" s="233">
        <f>IF(AND(OAL&lt;&gt;"",Label6="Y"),OAL,"")</f>
      </c>
    </row>
    <row r="47" spans="1:16" ht="15" customHeight="1">
      <c r="A47" s="126"/>
      <c r="B47" s="126"/>
      <c r="C47" s="126"/>
      <c r="D47" s="126"/>
      <c r="E47" s="126"/>
      <c r="F47" s="126"/>
      <c r="G47" s="126"/>
      <c r="H47" s="238">
        <f>IF(AND(LoadDate&lt;&gt;"",Label5="Y"),"Date:","")</f>
      </c>
      <c r="I47" s="228">
        <f>IF(AND(LoadDate&lt;&gt;"",Label5="Y"),LoadDate,"")</f>
      </c>
      <c r="J47" s="238">
        <f>IF(AND(EstVelocity&lt;&gt;"",Label5="Y"),"Est. Velocity:","")</f>
      </c>
      <c r="K47" s="233">
        <f>IF(AND(EstVelocity&lt;&gt;"",Label5="Y"),EstVelocity,"")</f>
      </c>
      <c r="L47" s="128"/>
      <c r="M47" s="238">
        <f>IF(AND(LoadDate&lt;&gt;"",Label6="Y"),"Date:","")</f>
      </c>
      <c r="N47" s="228">
        <f>IF(AND(LoadDate&lt;&gt;"",Label6="Y"),LoadDate,"")</f>
      </c>
      <c r="O47" s="238">
        <f>IF(AND(EstVelocity&lt;&gt;"",Label6="Y"),"Est. Velocity:","")</f>
      </c>
      <c r="P47" s="233">
        <f>IF(AND(EstVelocity&lt;&gt;"",Label6="Y"),EstVelocity,"")</f>
      </c>
    </row>
    <row r="48" spans="1:16" ht="15" customHeight="1">
      <c r="A48" s="126"/>
      <c r="B48" s="126"/>
      <c r="C48" s="126"/>
      <c r="D48" s="126"/>
      <c r="E48" s="126"/>
      <c r="F48" s="126"/>
      <c r="G48" s="126"/>
      <c r="H48" s="246">
        <f>IF(AND(Note1&lt;&gt;"",Label5="Y"),Note1,"")</f>
      </c>
      <c r="I48" s="246"/>
      <c r="J48" s="246"/>
      <c r="K48" s="246"/>
      <c r="L48" s="136"/>
      <c r="M48" s="246">
        <f>IF(AND(Note1&lt;&gt;"",Label6="Y"),Note1,"")</f>
      </c>
      <c r="N48" s="246"/>
      <c r="O48" s="246"/>
      <c r="P48" s="246"/>
    </row>
    <row r="49" spans="1:16" ht="15" customHeight="1">
      <c r="A49" s="126"/>
      <c r="B49" s="126"/>
      <c r="C49" s="126"/>
      <c r="D49" s="126"/>
      <c r="E49" s="126"/>
      <c r="F49" s="126"/>
      <c r="G49" s="126"/>
      <c r="H49" s="246"/>
      <c r="I49" s="246"/>
      <c r="J49" s="246"/>
      <c r="K49" s="246"/>
      <c r="L49" s="136"/>
      <c r="M49" s="246"/>
      <c r="N49" s="246"/>
      <c r="O49" s="246"/>
      <c r="P49" s="246"/>
    </row>
    <row r="50" spans="1:16" ht="30" customHeight="1">
      <c r="A50" s="126"/>
      <c r="B50" s="126"/>
      <c r="C50" s="126"/>
      <c r="D50" s="126"/>
      <c r="E50" s="126"/>
      <c r="F50" s="126"/>
      <c r="G50" s="126"/>
      <c r="H50" s="133"/>
      <c r="I50" s="133"/>
      <c r="J50" s="133"/>
      <c r="K50" s="133"/>
      <c r="L50" s="136"/>
      <c r="M50" s="133"/>
      <c r="N50" s="133"/>
      <c r="O50" s="133"/>
      <c r="P50" s="133"/>
    </row>
    <row r="51" spans="1:16" ht="15" customHeight="1">
      <c r="A51" s="126"/>
      <c r="B51" s="126"/>
      <c r="C51" s="126"/>
      <c r="D51" s="126"/>
      <c r="E51" s="126"/>
      <c r="F51" s="126"/>
      <c r="G51" s="126"/>
      <c r="H51" s="233">
        <f>IF(AND(Caliber&lt;&gt;"",label7="Y"),"Caliber:","")</f>
      </c>
      <c r="I51" s="232">
        <f>IF(AND(Caliber&lt;&gt;"",label7="Y"),Caliber,"")</f>
      </c>
      <c r="J51" s="238">
        <f>IF(AND(PowderType&lt;&gt;"",label7="Y"),"Powder Type:","")</f>
      </c>
      <c r="K51" s="233">
        <f>IF(AND(PowderType&lt;&gt;"",label7="Y"),PowderType,"")</f>
      </c>
      <c r="L51" s="128"/>
      <c r="M51" s="233">
        <f>IF(AND(Caliber&lt;&gt;"",Label8="Y"),"Caliber:","")</f>
      </c>
      <c r="N51" s="232">
        <f>IF(AND(Caliber&lt;&gt;"",Label8="Y"),Caliber,"")</f>
      </c>
      <c r="O51" s="238">
        <f>IF(AND(PowderType&lt;&gt;"",Label8="Y"),"Powder Type:","")</f>
      </c>
      <c r="P51" s="233">
        <f>IF(AND(PowderType&lt;&gt;"",Label8="Y"),PowderType,"")</f>
      </c>
    </row>
    <row r="52" spans="1:16" ht="15" customHeight="1">
      <c r="A52" s="126"/>
      <c r="B52" s="126"/>
      <c r="C52" s="126"/>
      <c r="D52" s="126"/>
      <c r="E52" s="126"/>
      <c r="F52" s="126"/>
      <c r="G52" s="126"/>
      <c r="H52" s="238">
        <f>IF(AND(CaseType&lt;&gt;"",label7="Y"),"Case Type:","")</f>
      </c>
      <c r="I52" s="233">
        <f>IF(AND(CaseType&lt;&gt;"",label7="Y"),CaseType,"")</f>
      </c>
      <c r="J52" s="238">
        <f>IF(AND(PowderWeight&lt;&gt;"",label7="Y"),"Powder Weight:","")</f>
      </c>
      <c r="K52" s="233">
        <f>IF(AND(PowderWeight&lt;&gt;"",label7="Y"),PowderWeight,"")</f>
      </c>
      <c r="L52" s="128"/>
      <c r="M52" s="238">
        <f>IF(AND(CaseType&lt;&gt;"",Label8="Y"),"Case Type:","")</f>
      </c>
      <c r="N52" s="233">
        <f>IF(AND(CaseType&lt;&gt;"",Label8="Y"),CaseType,"")</f>
      </c>
      <c r="O52" s="238">
        <f>IF(AND(PowderWeight&lt;&gt;"",Label8="Y"),"Powder Weight:","")</f>
      </c>
      <c r="P52" s="233">
        <f>IF(AND(PowderWeight&lt;&gt;"",Label8="Y"),PowderWeight,"")</f>
      </c>
    </row>
    <row r="53" spans="1:16" ht="15" customHeight="1">
      <c r="A53" s="126"/>
      <c r="B53" s="126"/>
      <c r="C53" s="126"/>
      <c r="D53" s="126"/>
      <c r="E53" s="126"/>
      <c r="F53" s="126"/>
      <c r="G53" s="126"/>
      <c r="H53" s="238">
        <f>IF(AND(BulletBrand&lt;&gt;"",label7="Y"),"Bullet Brand:","")</f>
      </c>
      <c r="I53" s="233">
        <f>IF(AND(BulletBrand&lt;&gt;"",label7="Y"),BulletBrand,"")</f>
      </c>
      <c r="J53" s="238">
        <f>IF(AND(PrimerBrand&lt;&gt;"",label7="Y"),"Primer Brand:","")</f>
      </c>
      <c r="K53" s="233">
        <f>IF(AND(PrimerBrand&lt;&gt;"",label7="Y"),PrimerBrand,"")</f>
      </c>
      <c r="L53" s="128"/>
      <c r="M53" s="238">
        <f>IF(AND(BulletBrand&lt;&gt;"",Label8="Y"),"Bullet Brand:","")</f>
      </c>
      <c r="N53" s="233">
        <f>IF(AND(BulletBrand&lt;&gt;"",Label8="Y"),BulletBrand,"")</f>
      </c>
      <c r="O53" s="238">
        <f>IF(AND(PrimerBrand&lt;&gt;"",Label8="Y"),"Primer Brand:","")</f>
      </c>
      <c r="P53" s="233">
        <f>IF(AND(PrimerBrand&lt;&gt;"",Label8="Y"),PrimerBrand,"")</f>
      </c>
    </row>
    <row r="54" spans="1:16" ht="15" customHeight="1">
      <c r="A54" s="126"/>
      <c r="B54" s="126"/>
      <c r="C54" s="126"/>
      <c r="D54" s="126"/>
      <c r="E54" s="126"/>
      <c r="F54" s="126"/>
      <c r="G54" s="126"/>
      <c r="H54" s="238">
        <f>IF(AND(BulletType&lt;&gt;"",label7="Y"),"Bullet Type:","")</f>
      </c>
      <c r="I54" s="233">
        <f>IF(AND(BulletType&lt;&gt;"",label7="Y"),BulletType,"")</f>
      </c>
      <c r="J54" s="238">
        <f>IF(AND(PrimerType&lt;&gt;"",label7="Y"),"Primer Type/Lot:","")</f>
      </c>
      <c r="K54" s="233">
        <f>IF(AND(PrimerType&lt;&gt;"",label7="Y"),PrimerType,"")</f>
      </c>
      <c r="L54" s="128"/>
      <c r="M54" s="238">
        <f>IF(AND(BulletType&lt;&gt;"",Label8="Y"),"Bullet Type:","")</f>
      </c>
      <c r="N54" s="233">
        <f>IF(AND(BulletType&lt;&gt;"",Label8="Y"),BulletType,"")</f>
      </c>
      <c r="O54" s="238">
        <f>IF(AND(PrimerType&lt;&gt;"",Label8="Y"),"Primer Type/Lot:","")</f>
      </c>
      <c r="P54" s="233">
        <f>IF(AND(PrimerType&lt;&gt;"",Label8="Y"),PrimerType,"")</f>
      </c>
    </row>
    <row r="55" spans="1:16" ht="15" customHeight="1">
      <c r="A55" s="126"/>
      <c r="B55" s="126"/>
      <c r="C55" s="126"/>
      <c r="D55" s="126"/>
      <c r="E55" s="126"/>
      <c r="F55" s="126"/>
      <c r="G55" s="126"/>
      <c r="H55" s="238">
        <f>IF(AND(BulletWeight&lt;&gt;"",label7="Y"),"Bullet Wt:","")</f>
      </c>
      <c r="I55" s="233">
        <f>IF(AND(BulletWeight&lt;&gt;"",label7="Y"),BulletWeight,"")</f>
      </c>
      <c r="J55" s="238">
        <f>IF(AND(OAL&lt;&gt;"",label7="Y"),"OAL:","")</f>
      </c>
      <c r="K55" s="233">
        <f>IF(AND(OAL&lt;&gt;"",label7="Y"),OAL,"")</f>
      </c>
      <c r="L55" s="128"/>
      <c r="M55" s="238">
        <f>IF(AND(BulletWeight&lt;&gt;"",Label8="Y"),"Bullet Wt:","")</f>
      </c>
      <c r="N55" s="233">
        <f>IF(AND(BulletWeight&lt;&gt;"",Label8="Y"),BulletWeight,"")</f>
      </c>
      <c r="O55" s="238">
        <f>IF(AND(OAL&lt;&gt;"",Label8="Y"),"OAL:","")</f>
      </c>
      <c r="P55" s="233">
        <f>IF(AND(OAL&lt;&gt;"",Label8="Y"),OAL,"")</f>
      </c>
    </row>
    <row r="56" spans="1:16" ht="15" customHeight="1">
      <c r="A56" s="126"/>
      <c r="B56" s="126"/>
      <c r="C56" s="126"/>
      <c r="D56" s="126"/>
      <c r="E56" s="126"/>
      <c r="F56" s="126"/>
      <c r="G56" s="126"/>
      <c r="H56" s="238">
        <f>IF(AND(LoadDate&lt;&gt;"",label7="Y"),"Date:","")</f>
      </c>
      <c r="I56" s="228">
        <f>IF(AND(LoadDate&lt;&gt;"",label7="Y"),LoadDate,"")</f>
      </c>
      <c r="J56" s="239">
        <f>IF(AND(EstVelocity&lt;&gt;"",label7="Y"),"Est. Velocity:","")</f>
      </c>
      <c r="K56" s="233">
        <f>IF(AND(EstVelocity&lt;&gt;"",label7="Y"),EstVelocity,"")</f>
      </c>
      <c r="L56" s="128"/>
      <c r="M56" s="238">
        <f>IF(AND(LoadDate&lt;&gt;"",Label8="Y"),"Date:","")</f>
      </c>
      <c r="N56" s="228">
        <f>IF(AND(LoadDate&lt;&gt;"",Label8="Y"),LoadDate,"")</f>
      </c>
      <c r="O56" s="238">
        <f>IF(AND(EstVelocity&lt;&gt;"",Label8="Y"),"Est. Velocity:","")</f>
      </c>
      <c r="P56" s="233">
        <f>IF(AND(EstVelocity&lt;&gt;"",Label8="Y"),EstVelocity,"")</f>
      </c>
    </row>
    <row r="57" spans="1:16" ht="15" customHeight="1">
      <c r="A57" s="126"/>
      <c r="B57" s="126"/>
      <c r="C57" s="126"/>
      <c r="D57" s="126"/>
      <c r="E57" s="126"/>
      <c r="F57" s="126"/>
      <c r="G57" s="126"/>
      <c r="H57" s="246">
        <f>IF(AND(Note1&lt;&gt;"",label7="Y"),Note1,"")</f>
      </c>
      <c r="I57" s="246"/>
      <c r="J57" s="246"/>
      <c r="K57" s="246"/>
      <c r="L57" s="136"/>
      <c r="M57" s="246">
        <f>IF(AND(Note1&lt;&gt;"",Label8="Y"),Note1,"")</f>
      </c>
      <c r="N57" s="246"/>
      <c r="O57" s="246"/>
      <c r="P57" s="246"/>
    </row>
    <row r="58" spans="1:16" ht="15" customHeight="1">
      <c r="A58" s="126"/>
      <c r="B58" s="126"/>
      <c r="C58" s="126"/>
      <c r="D58" s="126"/>
      <c r="E58" s="126"/>
      <c r="F58" s="126"/>
      <c r="G58" s="126"/>
      <c r="H58" s="246"/>
      <c r="I58" s="246"/>
      <c r="J58" s="246"/>
      <c r="K58" s="246"/>
      <c r="L58" s="136"/>
      <c r="M58" s="246"/>
      <c r="N58" s="246"/>
      <c r="O58" s="246"/>
      <c r="P58" s="246"/>
    </row>
    <row r="59" spans="1:16" ht="30" customHeight="1">
      <c r="A59" s="126"/>
      <c r="B59" s="126"/>
      <c r="C59" s="126"/>
      <c r="D59" s="126"/>
      <c r="E59" s="126"/>
      <c r="F59" s="126"/>
      <c r="G59" s="126"/>
      <c r="H59" s="133"/>
      <c r="I59" s="133"/>
      <c r="J59" s="133"/>
      <c r="K59" s="133"/>
      <c r="L59" s="136"/>
      <c r="M59" s="133"/>
      <c r="N59" s="133"/>
      <c r="O59" s="133"/>
      <c r="P59" s="133"/>
    </row>
    <row r="60" spans="1:16" ht="15" customHeight="1">
      <c r="A60" s="126"/>
      <c r="B60" s="126"/>
      <c r="C60" s="126"/>
      <c r="D60" s="126"/>
      <c r="E60" s="126"/>
      <c r="F60" s="126"/>
      <c r="G60" s="126"/>
      <c r="H60" s="233">
        <f>IF(AND(Caliber&lt;&gt;"",Label9="Y"),"Caliber:","")</f>
      </c>
      <c r="I60" s="232">
        <f>IF(AND(Caliber&lt;&gt;"",Label9="Y"),Caliber,"")</f>
      </c>
      <c r="J60" s="238">
        <f>IF(AND(PowderType&lt;&gt;"",Label9="Y"),"Powder Type:","")</f>
      </c>
      <c r="K60" s="233">
        <f>IF(AND(PowderType&lt;&gt;"",Label9="Y"),PowderType,"")</f>
      </c>
      <c r="L60" s="128"/>
      <c r="M60" s="233">
        <f>IF(AND(Caliber&lt;&gt;"",Label10="Y"),"Caliber:","")</f>
      </c>
      <c r="N60" s="232">
        <f>IF(AND(Caliber&lt;&gt;"",Label10="Y"),Caliber,"")</f>
      </c>
      <c r="O60" s="238">
        <f>IF(AND(PowderType&lt;&gt;"",Label10="Y"),"Powder Type:","")</f>
      </c>
      <c r="P60" s="233">
        <f>IF(AND(PowderType&lt;&gt;"",Label10="Y"),PowderType,"")</f>
      </c>
    </row>
    <row r="61" spans="1:16" ht="15" customHeight="1">
      <c r="A61" s="126"/>
      <c r="B61" s="126"/>
      <c r="C61" s="126"/>
      <c r="D61" s="126"/>
      <c r="E61" s="126"/>
      <c r="F61" s="126"/>
      <c r="G61" s="126"/>
      <c r="H61" s="238">
        <f>IF(AND(CaseType&lt;&gt;"",Label9="Y"),"Case Type:","")</f>
      </c>
      <c r="I61" s="233">
        <f>IF(AND(CaseType&lt;&gt;"",Label9="Y"),CaseType,"")</f>
      </c>
      <c r="J61" s="238">
        <f>IF(AND(PowderWeight&lt;&gt;"",Label9="Y"),"Powder Weight:","")</f>
      </c>
      <c r="K61" s="233">
        <f>IF(AND(PowderWeight&lt;&gt;"",Label9="Y"),PowderWeight,"")</f>
      </c>
      <c r="L61" s="128"/>
      <c r="M61" s="238">
        <f>IF(AND(CaseType&lt;&gt;"",Label10="Y"),"Case Type:","")</f>
      </c>
      <c r="N61" s="233">
        <f>IF(AND(CaseType&lt;&gt;"",Label10="Y"),CaseType,"")</f>
      </c>
      <c r="O61" s="238">
        <f>IF(AND(PowderWeight&lt;&gt;"",Label10="Y"),"Powder Weight:","")</f>
      </c>
      <c r="P61" s="233">
        <f>IF(AND(PowderWeight&lt;&gt;"",Label10="Y"),PowderWeight,"")</f>
      </c>
    </row>
    <row r="62" spans="1:16" ht="15" customHeight="1">
      <c r="A62" s="126"/>
      <c r="B62" s="126"/>
      <c r="C62" s="126"/>
      <c r="D62" s="126"/>
      <c r="E62" s="126"/>
      <c r="F62" s="126"/>
      <c r="G62" s="126"/>
      <c r="H62" s="238">
        <f>IF(AND(BulletBrand&lt;&gt;"",Label9="Y"),"Bullet Brand:","")</f>
      </c>
      <c r="I62" s="233">
        <f>IF(AND(BulletBrand&lt;&gt;"",Label9="Y"),BulletBrand,"")</f>
      </c>
      <c r="J62" s="238">
        <f>IF(AND(PrimerBrand&lt;&gt;"",Label9="Y"),"Primer Brand:","")</f>
      </c>
      <c r="K62" s="233">
        <f>IF(AND(PrimerBrand&lt;&gt;"",Label9="Y"),PrimerBrand,"")</f>
      </c>
      <c r="L62" s="128"/>
      <c r="M62" s="238">
        <f>IF(AND(BulletBrand&lt;&gt;"",Label10="Y"),"Bullet Brand:","")</f>
      </c>
      <c r="N62" s="233">
        <f>IF(AND(BulletBrand&lt;&gt;"",Label10="Y"),BulletBrand,"")</f>
      </c>
      <c r="O62" s="238">
        <f>IF(AND(PrimerBrand&lt;&gt;"",Label10="Y"),"Primer Brand:","")</f>
      </c>
      <c r="P62" s="233">
        <f>IF(AND(PrimerBrand&lt;&gt;"",Label10="Y"),PrimerBrand,"")</f>
      </c>
    </row>
    <row r="63" spans="1:16" ht="15" customHeight="1">
      <c r="A63" s="126"/>
      <c r="B63" s="126"/>
      <c r="C63" s="126"/>
      <c r="D63" s="126"/>
      <c r="E63" s="126"/>
      <c r="F63" s="126"/>
      <c r="G63" s="126"/>
      <c r="H63" s="238">
        <f>IF(AND(BulletType&lt;&gt;"",Label9="Y"),"Bullet Type:","")</f>
      </c>
      <c r="I63" s="233">
        <f>IF(AND(BulletType&lt;&gt;"",Label9="Y"),BulletType,"")</f>
      </c>
      <c r="J63" s="238">
        <f>IF(AND(PrimerType&lt;&gt;"",Label9="Y"),"Primer Type/Lot:","")</f>
      </c>
      <c r="K63" s="233">
        <f>IF(AND(PrimerType&lt;&gt;"",Label9="Y"),PrimerType,"")</f>
      </c>
      <c r="L63" s="128"/>
      <c r="M63" s="238">
        <f>IF(AND(BulletType&lt;&gt;"",Label10="Y"),"Bullet Type:","")</f>
      </c>
      <c r="N63" s="233">
        <f>IF(AND(BulletType&lt;&gt;"",Label10="Y"),BulletType,"")</f>
      </c>
      <c r="O63" s="238">
        <f>IF(AND(PrimerType&lt;&gt;"",Label10="Y"),"Primer Type/Lot:","")</f>
      </c>
      <c r="P63" s="233">
        <f>IF(AND(PrimerType&lt;&gt;"",Label10="Y"),PrimerType,"")</f>
      </c>
    </row>
    <row r="64" spans="1:16" ht="15" customHeight="1">
      <c r="A64" s="126"/>
      <c r="B64" s="126"/>
      <c r="C64" s="126"/>
      <c r="D64" s="126"/>
      <c r="E64" s="126"/>
      <c r="F64" s="126"/>
      <c r="G64" s="126"/>
      <c r="H64" s="238">
        <f>IF(AND(BulletWeight&lt;&gt;"",Label9="Y"),"Bullet Wt:","")</f>
      </c>
      <c r="I64" s="233">
        <f>IF(AND(BulletWeight&lt;&gt;"",Label9="Y"),BulletWeight,"")</f>
      </c>
      <c r="J64" s="238">
        <f>IF(AND(OAL&lt;&gt;"",Label9="Y"),"OAL:","")</f>
      </c>
      <c r="K64" s="233">
        <f>IF(AND(OAL&lt;&gt;"",Label9="Y"),OAL,"")</f>
      </c>
      <c r="L64" s="128"/>
      <c r="M64" s="238">
        <f>IF(AND(BulletWeight&lt;&gt;"",Label10="Y"),"Bullet Wt:","")</f>
      </c>
      <c r="N64" s="233">
        <f>IF(AND(BulletWeight&lt;&gt;"",Label10="Y"),BulletWeight,"")</f>
      </c>
      <c r="O64" s="238">
        <f>IF(AND(OAL&lt;&gt;"",Label10="Y"),"OAL:","")</f>
      </c>
      <c r="P64" s="233">
        <f>IF(AND(OAL&lt;&gt;"",Label10="Y"),OAL,"")</f>
      </c>
    </row>
    <row r="65" spans="1:16" ht="15" customHeight="1">
      <c r="A65" s="126"/>
      <c r="B65" s="126"/>
      <c r="C65" s="126"/>
      <c r="D65" s="126"/>
      <c r="E65" s="126"/>
      <c r="F65" s="126"/>
      <c r="G65" s="126"/>
      <c r="H65" s="238">
        <f>IF(AND(LoadDate&lt;&gt;"",Label9="Y"),"Date:","")</f>
      </c>
      <c r="I65" s="228">
        <f>IF(AND(LoadDate&lt;&gt;"",Label9="Y"),LoadDate,"")</f>
      </c>
      <c r="J65" s="238">
        <f>IF(AND(EstVelocity&lt;&gt;"",Label9="Y"),"Est. Velocity:","")</f>
      </c>
      <c r="K65" s="233">
        <f>IF(AND(EstVelocity&lt;&gt;"",Label9="Y"),EstVelocity,"")</f>
      </c>
      <c r="L65" s="128"/>
      <c r="M65" s="238">
        <f>IF(AND(LoadDate&lt;&gt;"",Label10="Y"),"Date:","")</f>
      </c>
      <c r="N65" s="228">
        <f>IF(AND(LoadDate&lt;&gt;"",Label10="Y"),LoadDate,"")</f>
      </c>
      <c r="O65" s="238">
        <f>IF(AND(EstVelocity&lt;&gt;"",Label10="Y"),"Est. Velocity:","")</f>
      </c>
      <c r="P65" s="233">
        <f>IF(AND(EstVelocity&lt;&gt;"",Label10="Y"),EstVelocity,"")</f>
      </c>
    </row>
    <row r="66" spans="1:16" ht="15" customHeight="1">
      <c r="A66" s="126"/>
      <c r="B66" s="126"/>
      <c r="C66" s="126"/>
      <c r="D66" s="126"/>
      <c r="E66" s="126"/>
      <c r="F66" s="126"/>
      <c r="G66" s="126"/>
      <c r="H66" s="246">
        <f>IF(AND(Note1&lt;&gt;"",Label9="Y"),Note1,"")</f>
      </c>
      <c r="I66" s="246"/>
      <c r="J66" s="246"/>
      <c r="K66" s="246"/>
      <c r="L66" s="136"/>
      <c r="M66" s="246">
        <f>IF(AND(Note1&lt;&gt;"",Label10="Y"),Note1,"")</f>
      </c>
      <c r="N66" s="246"/>
      <c r="O66" s="246"/>
      <c r="P66" s="246"/>
    </row>
    <row r="67" spans="1:16" ht="15" customHeight="1">
      <c r="A67" s="126"/>
      <c r="B67" s="126"/>
      <c r="C67" s="126"/>
      <c r="D67" s="126"/>
      <c r="E67" s="126"/>
      <c r="F67" s="126"/>
      <c r="G67" s="126"/>
      <c r="H67" s="246"/>
      <c r="I67" s="246"/>
      <c r="J67" s="246"/>
      <c r="K67" s="246"/>
      <c r="L67" s="136"/>
      <c r="M67" s="246"/>
      <c r="N67" s="246"/>
      <c r="O67" s="246"/>
      <c r="P67" s="246"/>
    </row>
  </sheetData>
  <sheetProtection sheet="1" objects="1" scenarios="1"/>
  <mergeCells count="21">
    <mergeCell ref="H66:K67"/>
    <mergeCell ref="M66:P67"/>
    <mergeCell ref="D2:E2"/>
    <mergeCell ref="D3:E3"/>
    <mergeCell ref="D4:E4"/>
    <mergeCell ref="D5:E5"/>
    <mergeCell ref="D6:E6"/>
    <mergeCell ref="D7:E7"/>
    <mergeCell ref="C12:D12"/>
    <mergeCell ref="H48:K49"/>
    <mergeCell ref="M48:P49"/>
    <mergeCell ref="H57:K58"/>
    <mergeCell ref="M57:P58"/>
    <mergeCell ref="H8:K10"/>
    <mergeCell ref="H39:K40"/>
    <mergeCell ref="M39:P40"/>
    <mergeCell ref="C28:D28"/>
    <mergeCell ref="H30:K31"/>
    <mergeCell ref="M30:P31"/>
    <mergeCell ref="B8:F10"/>
    <mergeCell ref="H21:K22"/>
  </mergeCells>
  <conditionalFormatting sqref="F2:F7 K60:K65 P16:P21 N17:N20 C3:C7 P24:P29 K24:K29 P33:P38 K33:K38 P42:P47 K42:K47 P51:P56 K51:K56 P60:P65 I20 I25:I29 N25:N29 I34:I38 N34:N38 I43:I47 N43:N47 N52:N56 I52:I56 I61:I65 N61:N65 K16:K20">
    <cfRule type="cellIs" priority="1" dxfId="3" operator="notEqual" stopIfTrue="1">
      <formula>""</formula>
    </cfRule>
  </conditionalFormatting>
  <conditionalFormatting sqref="C2 I24 N51 N42 M16:N16 N21 N24 I60 N33 H16 I42 I51 I33 N60">
    <cfRule type="cellIs" priority="2" dxfId="4" operator="notEqual" stopIfTrue="1">
      <formula>""</formula>
    </cfRule>
  </conditionalFormatting>
  <conditionalFormatting sqref="C13:E15">
    <cfRule type="expression" priority="3" dxfId="0" stopIfTrue="1">
      <formula>C$15="Y"</formula>
    </cfRule>
  </conditionalFormatting>
  <conditionalFormatting sqref="C16:E18">
    <cfRule type="expression" priority="4" dxfId="0" stopIfTrue="1">
      <formula>C$18="Y"</formula>
    </cfRule>
  </conditionalFormatting>
  <conditionalFormatting sqref="C19:E21">
    <cfRule type="expression" priority="5" dxfId="0" stopIfTrue="1">
      <formula>C$21="Y"</formula>
    </cfRule>
  </conditionalFormatting>
  <conditionalFormatting sqref="C22:E24">
    <cfRule type="expression" priority="6" dxfId="0" stopIfTrue="1">
      <formula>C$24="Y"</formula>
    </cfRule>
  </conditionalFormatting>
  <conditionalFormatting sqref="C25:E27">
    <cfRule type="expression" priority="7" dxfId="0" stopIfTrue="1">
      <formula>C$27="Y"</formula>
    </cfRule>
  </conditionalFormatting>
  <conditionalFormatting sqref="B8">
    <cfRule type="cellIs" priority="8" dxfId="5" operator="notEqual" stopIfTrue="1">
      <formula>""</formula>
    </cfRule>
  </conditionalFormatting>
  <printOptions horizontalCentered="1"/>
  <pageMargins left="0" right="0" top="0.65" bottom="0.45"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U93"/>
  <sheetViews>
    <sheetView workbookViewId="0" topLeftCell="A1">
      <selection activeCell="C10" sqref="C10"/>
    </sheetView>
  </sheetViews>
  <sheetFormatPr defaultColWidth="9.140625" defaultRowHeight="12.75"/>
  <cols>
    <col min="1" max="1" width="2.7109375" style="188" customWidth="1"/>
    <col min="2" max="2" width="5.140625" style="188" customWidth="1"/>
    <col min="3" max="5" width="8.00390625" style="188" customWidth="1"/>
    <col min="6" max="6" width="4.57421875" style="222" customWidth="1"/>
    <col min="7" max="7" width="4.7109375" style="222" customWidth="1"/>
    <col min="8" max="8" width="8.57421875" style="222" customWidth="1"/>
    <col min="9" max="9" width="9.28125" style="188" customWidth="1"/>
    <col min="10" max="10" width="10.8515625" style="188" customWidth="1"/>
    <col min="11" max="11" width="9.7109375" style="188" customWidth="1"/>
    <col min="12" max="12" width="0.85546875" style="188" customWidth="1"/>
    <col min="13" max="13" width="8.57421875" style="188" bestFit="1" customWidth="1"/>
    <col min="14" max="14" width="9.28125" style="188" bestFit="1" customWidth="1"/>
    <col min="15" max="15" width="10.8515625" style="188" bestFit="1" customWidth="1"/>
    <col min="16" max="16" width="9.7109375" style="188" bestFit="1" customWidth="1"/>
    <col min="17" max="17" width="0.85546875" style="188" customWidth="1"/>
    <col min="18" max="18" width="8.57421875" style="188" bestFit="1" customWidth="1"/>
    <col min="19" max="19" width="9.28125" style="188" bestFit="1" customWidth="1"/>
    <col min="20" max="20" width="10.8515625" style="188" bestFit="1" customWidth="1"/>
    <col min="21" max="21" width="9.7109375" style="188" bestFit="1" customWidth="1"/>
    <col min="22" max="16384" width="9.140625" style="188" customWidth="1"/>
  </cols>
  <sheetData>
    <row r="1" spans="1:21" ht="35.25" customHeight="1">
      <c r="A1" s="185"/>
      <c r="B1" s="186" t="s">
        <v>147</v>
      </c>
      <c r="C1" s="185"/>
      <c r="D1" s="185"/>
      <c r="E1" s="185"/>
      <c r="F1" s="185"/>
      <c r="G1" s="185"/>
      <c r="H1" s="187"/>
      <c r="I1" s="187"/>
      <c r="J1" s="187" t="s">
        <v>129</v>
      </c>
      <c r="K1" s="187"/>
      <c r="L1" s="187"/>
      <c r="M1" s="187"/>
      <c r="N1" s="187"/>
      <c r="O1" s="187"/>
      <c r="Q1" s="187"/>
      <c r="R1" s="187"/>
      <c r="S1" s="187"/>
      <c r="T1" s="187"/>
      <c r="U1" s="187"/>
    </row>
    <row r="2" spans="1:21" ht="12">
      <c r="A2" s="185"/>
      <c r="B2" s="282"/>
      <c r="C2" s="283"/>
      <c r="D2" s="283"/>
      <c r="E2" s="283"/>
      <c r="F2" s="283"/>
      <c r="G2" s="185"/>
      <c r="H2" s="189" t="s">
        <v>108</v>
      </c>
      <c r="I2" s="190" t="s">
        <v>99</v>
      </c>
      <c r="J2" s="191" t="s">
        <v>113</v>
      </c>
      <c r="K2" s="192" t="s">
        <v>107</v>
      </c>
      <c r="L2" s="193"/>
      <c r="M2" s="194"/>
      <c r="N2" s="194"/>
      <c r="O2" s="194"/>
      <c r="P2" s="187"/>
      <c r="Q2" s="187"/>
      <c r="R2" s="187"/>
      <c r="S2" s="187"/>
      <c r="T2" s="187"/>
      <c r="U2" s="187"/>
    </row>
    <row r="3" spans="1:21" ht="12">
      <c r="A3" s="185"/>
      <c r="B3" s="283"/>
      <c r="C3" s="283"/>
      <c r="D3" s="283"/>
      <c r="E3" s="283"/>
      <c r="F3" s="283"/>
      <c r="G3" s="185"/>
      <c r="H3" s="195" t="s">
        <v>109</v>
      </c>
      <c r="I3" s="196" t="s">
        <v>100</v>
      </c>
      <c r="J3" s="197" t="s">
        <v>114</v>
      </c>
      <c r="K3" s="198" t="s">
        <v>103</v>
      </c>
      <c r="L3" s="193"/>
      <c r="M3" s="199"/>
      <c r="N3" s="194"/>
      <c r="O3" s="194"/>
      <c r="P3" s="187"/>
      <c r="Q3" s="187"/>
      <c r="R3" s="187"/>
      <c r="S3" s="187"/>
      <c r="T3" s="187"/>
      <c r="U3" s="187"/>
    </row>
    <row r="4" spans="1:21" ht="12">
      <c r="A4" s="185"/>
      <c r="B4" s="283"/>
      <c r="C4" s="283"/>
      <c r="D4" s="283"/>
      <c r="E4" s="283"/>
      <c r="F4" s="283"/>
      <c r="G4" s="185"/>
      <c r="H4" s="195" t="s">
        <v>110</v>
      </c>
      <c r="I4" s="196" t="s">
        <v>101</v>
      </c>
      <c r="J4" s="197" t="s">
        <v>115</v>
      </c>
      <c r="K4" s="198" t="s">
        <v>104</v>
      </c>
      <c r="L4" s="193"/>
      <c r="M4" s="200"/>
      <c r="N4" s="194"/>
      <c r="O4" s="194"/>
      <c r="P4" s="187"/>
      <c r="Q4" s="187"/>
      <c r="R4" s="187"/>
      <c r="S4" s="187"/>
      <c r="T4" s="187"/>
      <c r="U4" s="187"/>
    </row>
    <row r="5" spans="1:21" ht="12">
      <c r="A5" s="185"/>
      <c r="B5" s="283"/>
      <c r="C5" s="283"/>
      <c r="D5" s="283"/>
      <c r="E5" s="283"/>
      <c r="F5" s="283"/>
      <c r="G5" s="185"/>
      <c r="H5" s="195" t="s">
        <v>111</v>
      </c>
      <c r="I5" s="196" t="s">
        <v>117</v>
      </c>
      <c r="J5" s="197" t="s">
        <v>145</v>
      </c>
      <c r="K5" s="198" t="s">
        <v>146</v>
      </c>
      <c r="L5" s="193"/>
      <c r="M5" s="200"/>
      <c r="N5" s="194"/>
      <c r="O5" s="194"/>
      <c r="P5" s="187"/>
      <c r="Q5" s="187"/>
      <c r="R5" s="187"/>
      <c r="S5" s="187"/>
      <c r="T5" s="187"/>
      <c r="U5" s="187"/>
    </row>
    <row r="6" spans="1:21" ht="12">
      <c r="A6" s="185"/>
      <c r="B6" s="283"/>
      <c r="C6" s="283"/>
      <c r="D6" s="283"/>
      <c r="E6" s="283"/>
      <c r="F6" s="283"/>
      <c r="G6" s="185"/>
      <c r="H6" s="195" t="s">
        <v>119</v>
      </c>
      <c r="I6" s="196" t="s">
        <v>102</v>
      </c>
      <c r="J6" s="197" t="s">
        <v>116</v>
      </c>
      <c r="K6" s="198" t="s">
        <v>106</v>
      </c>
      <c r="L6" s="193"/>
      <c r="M6" s="200"/>
      <c r="N6" s="194"/>
      <c r="O6" s="194"/>
      <c r="P6" s="187"/>
      <c r="Q6" s="187"/>
      <c r="R6" s="187"/>
      <c r="S6" s="187"/>
      <c r="T6" s="187"/>
      <c r="U6" s="187"/>
    </row>
    <row r="7" spans="1:21" ht="12.75">
      <c r="A7" s="185"/>
      <c r="B7" s="283"/>
      <c r="C7" s="283"/>
      <c r="D7" s="283"/>
      <c r="E7" s="283"/>
      <c r="F7" s="283"/>
      <c r="G7" s="185"/>
      <c r="H7" s="201" t="s">
        <v>120</v>
      </c>
      <c r="I7" s="202">
        <f ca="1">TODAY()</f>
        <v>37465</v>
      </c>
      <c r="J7" s="203" t="s">
        <v>118</v>
      </c>
      <c r="K7" s="204" t="s">
        <v>105</v>
      </c>
      <c r="L7" s="205"/>
      <c r="M7" s="194"/>
      <c r="N7" s="194"/>
      <c r="O7" s="194"/>
      <c r="P7" s="187"/>
      <c r="Q7" s="187"/>
      <c r="R7" s="187"/>
      <c r="S7" s="187"/>
      <c r="T7" s="187"/>
      <c r="U7" s="187"/>
    </row>
    <row r="8" spans="1:21" ht="15" customHeight="1">
      <c r="A8" s="185"/>
      <c r="B8" s="283"/>
      <c r="C8" s="283"/>
      <c r="D8" s="283"/>
      <c r="E8" s="283"/>
      <c r="F8" s="283"/>
      <c r="G8" s="185"/>
      <c r="H8" s="187"/>
      <c r="I8" s="187"/>
      <c r="J8" s="187"/>
      <c r="K8" s="187"/>
      <c r="L8" s="187"/>
      <c r="M8" s="187"/>
      <c r="N8" s="187"/>
      <c r="O8" s="187"/>
      <c r="P8" s="187"/>
      <c r="Q8" s="187"/>
      <c r="R8" s="187"/>
      <c r="S8" s="187"/>
      <c r="T8" s="187"/>
      <c r="U8" s="187"/>
    </row>
    <row r="9" spans="1:21" ht="7.5" customHeight="1">
      <c r="A9" s="187"/>
      <c r="B9" s="206"/>
      <c r="C9" s="207"/>
      <c r="D9" s="207"/>
      <c r="E9" s="207"/>
      <c r="F9" s="193"/>
      <c r="G9" s="194"/>
      <c r="H9" s="194"/>
      <c r="I9" s="194"/>
      <c r="K9" s="194"/>
      <c r="L9" s="194"/>
      <c r="M9" s="194"/>
      <c r="N9" s="187"/>
      <c r="O9" s="187"/>
      <c r="P9" s="194"/>
      <c r="Q9" s="194"/>
      <c r="R9" s="194"/>
      <c r="S9" s="194"/>
      <c r="T9" s="187"/>
      <c r="U9" s="187"/>
    </row>
    <row r="10" spans="1:21" ht="15" customHeight="1">
      <c r="A10" s="187"/>
      <c r="B10" s="208">
        <v>1</v>
      </c>
      <c r="C10" s="183"/>
      <c r="D10" s="183"/>
      <c r="E10" s="182"/>
      <c r="F10" s="199">
        <v>3</v>
      </c>
      <c r="G10" s="194"/>
      <c r="H10" s="187"/>
      <c r="I10" s="209"/>
      <c r="J10" s="210"/>
      <c r="K10" s="208"/>
      <c r="L10" s="193"/>
      <c r="M10" s="193"/>
      <c r="N10" s="187"/>
      <c r="O10" s="187"/>
      <c r="P10" s="209"/>
      <c r="Q10" s="208"/>
      <c r="R10" s="193"/>
      <c r="S10" s="194"/>
      <c r="T10" s="187"/>
      <c r="U10" s="187"/>
    </row>
    <row r="11" spans="1:21" ht="15" customHeight="1">
      <c r="A11" s="187"/>
      <c r="B11" s="211">
        <v>4</v>
      </c>
      <c r="C11" s="182"/>
      <c r="D11" s="182"/>
      <c r="E11" s="182"/>
      <c r="F11" s="199">
        <v>6</v>
      </c>
      <c r="G11" s="194"/>
      <c r="H11" s="284" t="s">
        <v>148</v>
      </c>
      <c r="I11" s="285"/>
      <c r="J11" s="285"/>
      <c r="K11" s="285"/>
      <c r="L11" s="285"/>
      <c r="M11" s="285"/>
      <c r="N11" s="285"/>
      <c r="O11" s="187"/>
      <c r="P11" s="193"/>
      <c r="Q11" s="208"/>
      <c r="R11" s="193"/>
      <c r="S11" s="194"/>
      <c r="T11" s="187"/>
      <c r="U11" s="187"/>
    </row>
    <row r="12" spans="1:21" ht="15" customHeight="1">
      <c r="A12" s="187"/>
      <c r="B12" s="208">
        <v>7</v>
      </c>
      <c r="C12" s="183"/>
      <c r="D12" s="183"/>
      <c r="E12" s="182"/>
      <c r="F12" s="199">
        <v>9</v>
      </c>
      <c r="G12" s="194"/>
      <c r="H12" s="285"/>
      <c r="I12" s="285"/>
      <c r="J12" s="285"/>
      <c r="K12" s="285"/>
      <c r="L12" s="285"/>
      <c r="M12" s="285"/>
      <c r="N12" s="285"/>
      <c r="O12" s="187"/>
      <c r="P12" s="193"/>
      <c r="Q12" s="208"/>
      <c r="R12" s="193"/>
      <c r="S12" s="194"/>
      <c r="T12" s="187"/>
      <c r="U12" s="187"/>
    </row>
    <row r="13" spans="1:21" ht="15" customHeight="1">
      <c r="A13" s="187"/>
      <c r="B13" s="208">
        <v>10</v>
      </c>
      <c r="C13" s="182"/>
      <c r="D13" s="182"/>
      <c r="E13" s="182"/>
      <c r="F13" s="199">
        <v>12</v>
      </c>
      <c r="G13" s="194"/>
      <c r="H13" s="285"/>
      <c r="I13" s="285"/>
      <c r="J13" s="285"/>
      <c r="K13" s="285"/>
      <c r="L13" s="285"/>
      <c r="M13" s="285"/>
      <c r="N13" s="285"/>
      <c r="O13" s="187"/>
      <c r="P13" s="193"/>
      <c r="Q13" s="208"/>
      <c r="R13" s="193"/>
      <c r="S13" s="194"/>
      <c r="T13" s="187"/>
      <c r="U13" s="187"/>
    </row>
    <row r="14" spans="1:21" ht="15" customHeight="1">
      <c r="A14" s="187"/>
      <c r="B14" s="208">
        <v>13</v>
      </c>
      <c r="C14" s="183"/>
      <c r="D14" s="183"/>
      <c r="E14" s="182"/>
      <c r="F14" s="199">
        <v>15</v>
      </c>
      <c r="G14" s="212"/>
      <c r="H14" s="285"/>
      <c r="I14" s="285"/>
      <c r="J14" s="285"/>
      <c r="K14" s="285"/>
      <c r="L14" s="285"/>
      <c r="M14" s="285"/>
      <c r="N14" s="285"/>
      <c r="O14" s="208"/>
      <c r="P14" s="193"/>
      <c r="Q14" s="208"/>
      <c r="R14" s="193"/>
      <c r="S14" s="194"/>
      <c r="T14" s="187"/>
      <c r="U14" s="187"/>
    </row>
    <row r="15" spans="1:21" ht="15" customHeight="1">
      <c r="A15" s="187"/>
      <c r="B15" s="208">
        <v>16</v>
      </c>
      <c r="C15" s="182"/>
      <c r="D15" s="182"/>
      <c r="E15" s="182"/>
      <c r="F15" s="199">
        <v>18</v>
      </c>
      <c r="G15" s="212"/>
      <c r="H15" s="285"/>
      <c r="I15" s="285"/>
      <c r="J15" s="285"/>
      <c r="K15" s="285"/>
      <c r="L15" s="285"/>
      <c r="M15" s="285"/>
      <c r="N15" s="285"/>
      <c r="O15" s="208"/>
      <c r="P15" s="213"/>
      <c r="Q15" s="208"/>
      <c r="R15" s="193"/>
      <c r="S15" s="194"/>
      <c r="T15" s="187"/>
      <c r="U15" s="187"/>
    </row>
    <row r="16" spans="1:21" ht="15" customHeight="1">
      <c r="A16" s="187"/>
      <c r="B16" s="208">
        <v>19</v>
      </c>
      <c r="C16" s="183"/>
      <c r="D16" s="183"/>
      <c r="E16" s="182"/>
      <c r="F16" s="199">
        <v>21</v>
      </c>
      <c r="G16" s="214"/>
      <c r="H16" s="285"/>
      <c r="I16" s="285"/>
      <c r="J16" s="285"/>
      <c r="K16" s="285"/>
      <c r="L16" s="285"/>
      <c r="M16" s="285"/>
      <c r="N16" s="285"/>
      <c r="O16" s="215"/>
      <c r="P16" s="215"/>
      <c r="Q16" s="215"/>
      <c r="R16" s="215"/>
      <c r="S16" s="194"/>
      <c r="T16" s="187"/>
      <c r="U16" s="187"/>
    </row>
    <row r="17" spans="1:21" ht="15" customHeight="1">
      <c r="A17" s="187"/>
      <c r="B17" s="208">
        <v>22</v>
      </c>
      <c r="C17" s="182"/>
      <c r="D17" s="182"/>
      <c r="E17" s="182"/>
      <c r="F17" s="199">
        <v>24</v>
      </c>
      <c r="G17" s="214"/>
      <c r="H17" s="285"/>
      <c r="I17" s="285"/>
      <c r="J17" s="285"/>
      <c r="K17" s="285"/>
      <c r="L17" s="285"/>
      <c r="M17" s="285"/>
      <c r="N17" s="285"/>
      <c r="O17" s="209"/>
      <c r="P17" s="216"/>
      <c r="Q17" s="208"/>
      <c r="R17" s="210"/>
      <c r="S17" s="187"/>
      <c r="T17" s="187"/>
      <c r="U17" s="187"/>
    </row>
    <row r="18" spans="2:21" ht="15" customHeight="1">
      <c r="B18" s="208">
        <v>25</v>
      </c>
      <c r="C18" s="183"/>
      <c r="D18" s="183"/>
      <c r="E18" s="182"/>
      <c r="F18" s="199">
        <v>27</v>
      </c>
      <c r="G18" s="214"/>
      <c r="H18" s="285"/>
      <c r="I18" s="285"/>
      <c r="J18" s="285"/>
      <c r="K18" s="285"/>
      <c r="L18" s="285"/>
      <c r="M18" s="285"/>
      <c r="N18" s="285"/>
      <c r="O18" s="208"/>
      <c r="P18" s="210"/>
      <c r="Q18" s="208"/>
      <c r="R18" s="210"/>
      <c r="S18" s="187"/>
      <c r="T18" s="187"/>
      <c r="U18" s="187"/>
    </row>
    <row r="19" spans="1:21" ht="15" customHeight="1">
      <c r="A19" s="187"/>
      <c r="B19" s="208">
        <v>28</v>
      </c>
      <c r="C19" s="183"/>
      <c r="D19" s="183"/>
      <c r="E19" s="182"/>
      <c r="F19" s="199">
        <v>30</v>
      </c>
      <c r="G19" s="214"/>
      <c r="H19" s="285"/>
      <c r="I19" s="285"/>
      <c r="J19" s="285"/>
      <c r="K19" s="285"/>
      <c r="L19" s="285"/>
      <c r="M19" s="285"/>
      <c r="N19" s="285"/>
      <c r="O19" s="208"/>
      <c r="P19" s="210"/>
      <c r="Q19" s="208"/>
      <c r="R19" s="210"/>
      <c r="S19" s="187"/>
      <c r="T19" s="187"/>
      <c r="U19" s="187"/>
    </row>
    <row r="20" spans="1:21" ht="7.5" customHeight="1">
      <c r="A20" s="187"/>
      <c r="B20" s="194"/>
      <c r="C20" s="207"/>
      <c r="D20" s="207"/>
      <c r="E20" s="234"/>
      <c r="F20" s="194"/>
      <c r="G20" s="214"/>
      <c r="H20" s="285"/>
      <c r="I20" s="285"/>
      <c r="J20" s="285"/>
      <c r="K20" s="285"/>
      <c r="L20" s="285"/>
      <c r="M20" s="285"/>
      <c r="N20" s="285"/>
      <c r="O20" s="208"/>
      <c r="P20" s="210"/>
      <c r="Q20" s="208"/>
      <c r="R20" s="210"/>
      <c r="S20" s="187"/>
      <c r="T20" s="187"/>
      <c r="U20" s="187"/>
    </row>
    <row r="21" spans="1:21" ht="15" customHeight="1">
      <c r="A21" s="187"/>
      <c r="B21" s="194"/>
      <c r="C21" s="194"/>
      <c r="D21" s="194"/>
      <c r="E21" s="194"/>
      <c r="F21" s="194"/>
      <c r="G21" s="214"/>
      <c r="H21" s="187"/>
      <c r="I21" s="187"/>
      <c r="J21" s="217"/>
      <c r="K21" s="217"/>
      <c r="L21" s="217"/>
      <c r="M21" s="217"/>
      <c r="N21" s="218"/>
      <c r="O21" s="217"/>
      <c r="P21" s="217"/>
      <c r="Q21" s="217"/>
      <c r="R21" s="217"/>
      <c r="S21" s="187"/>
      <c r="T21" s="187"/>
      <c r="U21" s="187"/>
    </row>
    <row r="22" spans="1:21" ht="15" customHeight="1">
      <c r="A22" s="187"/>
      <c r="B22" s="194"/>
      <c r="C22" s="194"/>
      <c r="D22" s="194"/>
      <c r="E22" s="194"/>
      <c r="F22" s="194"/>
      <c r="G22" s="214"/>
      <c r="H22" s="187"/>
      <c r="I22" s="187"/>
      <c r="J22" s="217"/>
      <c r="K22" s="217"/>
      <c r="L22" s="217"/>
      <c r="M22" s="217"/>
      <c r="N22" s="218"/>
      <c r="O22" s="217"/>
      <c r="P22" s="217"/>
      <c r="Q22" s="217"/>
      <c r="R22" s="217"/>
      <c r="S22" s="187"/>
      <c r="T22" s="187"/>
      <c r="U22" s="187"/>
    </row>
    <row r="23" spans="1:21" ht="15" customHeight="1">
      <c r="A23" s="187"/>
      <c r="B23" s="187"/>
      <c r="C23" s="187"/>
      <c r="D23" s="187"/>
      <c r="E23" s="187"/>
      <c r="F23" s="187"/>
      <c r="G23" s="187"/>
      <c r="H23" s="194"/>
      <c r="I23" s="187"/>
      <c r="J23" s="209"/>
      <c r="K23" s="216"/>
      <c r="L23" s="208"/>
      <c r="M23" s="210"/>
      <c r="N23" s="193"/>
      <c r="O23" s="209"/>
      <c r="P23" s="216"/>
      <c r="Q23" s="208"/>
      <c r="R23" s="210"/>
      <c r="S23" s="187"/>
      <c r="T23" s="187"/>
      <c r="U23" s="187"/>
    </row>
    <row r="24" spans="1:21" ht="15" customHeight="1">
      <c r="A24" s="187"/>
      <c r="B24" s="187"/>
      <c r="C24" s="187"/>
      <c r="D24" s="187"/>
      <c r="E24" s="187"/>
      <c r="F24" s="187"/>
      <c r="G24" s="194"/>
      <c r="H24" s="194"/>
      <c r="I24" s="187"/>
      <c r="J24" s="208"/>
      <c r="K24" s="210"/>
      <c r="L24" s="208"/>
      <c r="M24" s="210"/>
      <c r="N24" s="193"/>
      <c r="O24" s="208"/>
      <c r="P24" s="210"/>
      <c r="Q24" s="208"/>
      <c r="R24" s="210"/>
      <c r="S24" s="187"/>
      <c r="T24" s="187"/>
      <c r="U24" s="187"/>
    </row>
    <row r="25" spans="1:21" ht="12" customHeight="1">
      <c r="A25" s="187"/>
      <c r="B25" s="187"/>
      <c r="C25" s="187"/>
      <c r="D25" s="187"/>
      <c r="E25" s="187"/>
      <c r="F25" s="187"/>
      <c r="G25" s="194"/>
      <c r="H25" s="240">
        <f>IF(AND(Caliber&lt;&gt;"",LabelB1="Y"),"Caliber:","")</f>
      </c>
      <c r="I25" s="235">
        <f>IF(AND(Caliber&lt;&gt;"",LabelB1="Y"),Caliber,"")</f>
      </c>
      <c r="J25" s="241">
        <f>IF(AND(PowderType&lt;&gt;"",LabelB1="Y"),"Powder Type:","")</f>
      </c>
      <c r="K25" s="235">
        <f>IF(AND(PowderType&lt;&gt;"",LabelB1="Y"),PowderType,"")</f>
      </c>
      <c r="L25" s="219"/>
      <c r="M25" s="240">
        <f>IF(AND(Caliber&lt;&gt;"",LabelB2="Y"),"Caliber:","")</f>
      </c>
      <c r="N25" s="235">
        <f>IF(AND(Caliber&lt;&gt;"",LabelB2="Y"),Caliber,"")</f>
      </c>
      <c r="O25" s="241">
        <f>IF(AND(PowderType&lt;&gt;"",LabelB2="Y"),"Powder Type:","")</f>
      </c>
      <c r="P25" s="235">
        <f>IF(AND(PowderType&lt;&gt;"",LabelB2="Y"),PowderType,"")</f>
      </c>
      <c r="Q25" s="197"/>
      <c r="R25" s="240">
        <f>IF(AND(Caliber&lt;&gt;"",LabelB3="Y"),"Caliber:","")</f>
      </c>
      <c r="S25" s="235">
        <f>IF(AND(Caliber&lt;&gt;"",LabelB3="Y"),Caliber,"")</f>
      </c>
      <c r="T25" s="241">
        <f>IF(AND(PowderType&lt;&gt;"",LabelB3="Y"),"Powder Type:","")</f>
      </c>
      <c r="U25" s="235">
        <f>IF(AND(PowderType&lt;&gt;"",LabelB3="Y"),PowderType,"")</f>
      </c>
    </row>
    <row r="26" spans="1:21" ht="12" customHeight="1">
      <c r="A26" s="187"/>
      <c r="B26" s="187"/>
      <c r="C26" s="187"/>
      <c r="D26" s="187"/>
      <c r="E26" s="187"/>
      <c r="F26" s="187"/>
      <c r="G26" s="187"/>
      <c r="H26" s="241">
        <f>IF(AND(CaseType&lt;&gt;"",LabelB1="Y"),"Case Type:","")</f>
      </c>
      <c r="I26" s="235">
        <f>IF(AND(CaseType&lt;&gt;"",LabelB1="Y"),CaseType,"")</f>
      </c>
      <c r="J26" s="241">
        <f>IF(AND(PowderWeight&lt;&gt;"",LabelB1="Y"),"Powder Weight:","")</f>
      </c>
      <c r="K26" s="235">
        <f>IF(AND(PowderWeight&lt;&gt;"",LabelB1="Y"),PowderWeight,"")</f>
      </c>
      <c r="L26" s="219"/>
      <c r="M26" s="241">
        <f>IF(AND(CaseType&lt;&gt;"",LabelB2="Y"),"Case Type:","")</f>
      </c>
      <c r="N26" s="235">
        <f>IF(AND(CaseType&lt;&gt;"",LabelB2="Y"),CaseType,"")</f>
      </c>
      <c r="O26" s="241">
        <f>IF(AND(PowderWeight&lt;&gt;"",LabelB2="Y"),"Powder Weight:","")</f>
      </c>
      <c r="P26" s="235">
        <f>IF(AND(PowderWeight&lt;&gt;"",LabelB2="Y"),PowderWeight,"")</f>
      </c>
      <c r="Q26" s="220"/>
      <c r="R26" s="241">
        <f>IF(AND(CaseType&lt;&gt;"",LabelB3="Y"),"Case Type:","")</f>
      </c>
      <c r="S26" s="235">
        <f>IF(AND(CaseType&lt;&gt;"",LabelB3="Y"),CaseType,"")</f>
      </c>
      <c r="T26" s="241">
        <f>IF(AND(PowderWeight&lt;&gt;"",LabelB3="Y"),"Powder Weight:","")</f>
      </c>
      <c r="U26" s="235">
        <f>IF(AND(PowderWeight&lt;&gt;"",LabelB3="Y"),PowderWeight,"")</f>
      </c>
    </row>
    <row r="27" spans="1:21" ht="12" customHeight="1">
      <c r="A27" s="187"/>
      <c r="B27" s="187"/>
      <c r="C27" s="187"/>
      <c r="D27" s="187"/>
      <c r="E27" s="187"/>
      <c r="F27" s="187"/>
      <c r="G27" s="187"/>
      <c r="H27" s="241">
        <f>IF(AND(BulletBrand&lt;&gt;"",LabelB1="Y"),"Bullet Brand:","")</f>
      </c>
      <c r="I27" s="235">
        <f>IF(AND(BulletBrand&lt;&gt;"",LabelB1="Y"),BulletBrand,"")</f>
      </c>
      <c r="J27" s="241">
        <f>IF(AND(PrimerBrand&lt;&gt;"",LabelB1="Y"),"Primer Brand:","")</f>
      </c>
      <c r="K27" s="235">
        <f>IF(AND(PrimerBrand&lt;&gt;"",LabelB1="Y"),PrimerBrand,"")</f>
      </c>
      <c r="L27" s="219"/>
      <c r="M27" s="241">
        <f>IF(AND(BulletBrand&lt;&gt;"",LabelB2="Y"),"Bullet Brand:","")</f>
      </c>
      <c r="N27" s="235">
        <f>IF(AND(BulletBrand&lt;&gt;"",LabelB2="Y"),BulletBrand,"")</f>
      </c>
      <c r="O27" s="241">
        <f>IF(AND(PrimerBrand&lt;&gt;"",LabelB2="Y"),"Primer Brand:","")</f>
      </c>
      <c r="P27" s="235">
        <f>IF(AND(PrimerBrand&lt;&gt;"",LabelB2="Y"),PrimerBrand,"")</f>
      </c>
      <c r="Q27" s="220"/>
      <c r="R27" s="241">
        <f>IF(AND(BulletBrand&lt;&gt;"",LabelB3="Y"),"Bullet Brand:","")</f>
      </c>
      <c r="S27" s="235">
        <f>IF(AND(BulletBrand&lt;&gt;"",LabelB3="Y"),BulletBrand,"")</f>
      </c>
      <c r="T27" s="241">
        <f>IF(AND(PrimerBrand&lt;&gt;"",LabelB3="Y"),"Primer Brand:","")</f>
      </c>
      <c r="U27" s="235">
        <f>IF(AND(PrimerBrand&lt;&gt;"",LabelB3="Y"),PrimerBrand,"")</f>
      </c>
    </row>
    <row r="28" spans="1:21" ht="12" customHeight="1">
      <c r="A28" s="187"/>
      <c r="B28" s="187"/>
      <c r="C28" s="187"/>
      <c r="D28" s="187"/>
      <c r="E28" s="187"/>
      <c r="F28" s="187"/>
      <c r="G28" s="187"/>
      <c r="H28" s="241">
        <f>IF(AND(BulletType&lt;&gt;"",LabelB1="Y"),"Bullet Type:","")</f>
      </c>
      <c r="I28" s="235">
        <f>IF(AND(BulletType&lt;&gt;"",LabelB1="Y"),BulletType,"")</f>
      </c>
      <c r="J28" s="241">
        <f>IF(AND(PrimerType&lt;&gt;"",LabelB1="Y"),"Primer Type/Lot:","")</f>
      </c>
      <c r="K28" s="235">
        <f>IF(AND(PrimerType&lt;&gt;"",LabelB1="Y"),PrimerType,"")</f>
      </c>
      <c r="L28" s="219"/>
      <c r="M28" s="241">
        <f>IF(AND(BulletType&lt;&gt;"",LabelB2="Y"),"Bullet Type:","")</f>
      </c>
      <c r="N28" s="235">
        <f>IF(AND(BulletType&lt;&gt;"",LabelB2="Y"),BulletType,"")</f>
      </c>
      <c r="O28" s="241">
        <f>IF(AND(PrimerType&lt;&gt;"",LabelB2="Y"),"Primer Type/Lot:","")</f>
      </c>
      <c r="P28" s="235">
        <f>IF(AND(PrimerType&lt;&gt;"",LabelB2="Y"),PrimerType,"")</f>
      </c>
      <c r="Q28" s="220"/>
      <c r="R28" s="241">
        <f>IF(AND(BulletType&lt;&gt;"",LabelB3="Y"),"Bullet Type:","")</f>
      </c>
      <c r="S28" s="235">
        <f>IF(AND(BulletType&lt;&gt;"",LabelB3="Y"),BulletType,"")</f>
      </c>
      <c r="T28" s="241">
        <f>IF(AND(PrimerType&lt;&gt;"",LabelB3="Y"),"Primer Type/Lot:","")</f>
      </c>
      <c r="U28" s="235">
        <f>IF(AND(PrimerType&lt;&gt;"",LabelB3="Y"),PrimerType,"")</f>
      </c>
    </row>
    <row r="29" spans="1:21" ht="12" customHeight="1">
      <c r="A29" s="187"/>
      <c r="B29" s="187"/>
      <c r="C29" s="187"/>
      <c r="D29" s="187"/>
      <c r="E29" s="187"/>
      <c r="F29" s="187"/>
      <c r="G29" s="187"/>
      <c r="H29" s="241">
        <f>IF(AND(BulletWeight&lt;&gt;"",LabelB1="Y"),"Bullet Wt:","")</f>
      </c>
      <c r="I29" s="235">
        <f>IF(AND(BulletWeight&lt;&gt;"",LabelB1="Y"),BulletWeight,"")</f>
      </c>
      <c r="J29" s="241">
        <f>IF(AND(OAL&lt;&gt;"",LabelB1="Y"),"OAL:","")</f>
      </c>
      <c r="K29" s="235">
        <f>IF(AND(OAL&lt;&gt;"",LabelB1="Y"),OAL,"")</f>
      </c>
      <c r="L29" s="219"/>
      <c r="M29" s="241">
        <f>IF(AND(BulletWeight&lt;&gt;"",LabelB2="Y"),"Bullet Wt:","")</f>
      </c>
      <c r="N29" s="235">
        <f>IF(AND(BulletWeight&lt;&gt;"",LabelB2="Y"),BulletWeight,"")</f>
      </c>
      <c r="O29" s="241">
        <f>IF(AND(OAL&lt;&gt;"",LabelB2="Y"),"OAL:","")</f>
      </c>
      <c r="P29" s="235">
        <f>IF(AND(OAL&lt;&gt;"",LabelB2="Y"),OAL,"")</f>
      </c>
      <c r="Q29" s="220"/>
      <c r="R29" s="241">
        <f>IF(AND(BulletWeight&lt;&gt;"",LabelB3="Y"),"Bullet Wt:","")</f>
      </c>
      <c r="S29" s="235">
        <f>IF(AND(BulletWeight&lt;&gt;"",LabelB3="Y"),BulletWeight,"")</f>
      </c>
      <c r="T29" s="241">
        <f>IF(AND(OAL&lt;&gt;"",LabelB3="Y"),"OAL:","")</f>
      </c>
      <c r="U29" s="235">
        <f>IF(AND(OAL&lt;&gt;"",LabelB3="Y"),OAL,"")</f>
      </c>
    </row>
    <row r="30" spans="1:21" ht="12" customHeight="1">
      <c r="A30" s="187"/>
      <c r="B30" s="187"/>
      <c r="C30" s="187"/>
      <c r="D30" s="187"/>
      <c r="E30" s="187"/>
      <c r="F30" s="187"/>
      <c r="G30" s="187"/>
      <c r="H30" s="241">
        <f>IF(AND(LoadDate&lt;&gt;"",LabelB1="Y"),"Date:","")</f>
      </c>
      <c r="I30" s="221">
        <f>IF(AND(LoadDate&lt;&gt;"",LabelB1="Y"),LoadDate,"")</f>
      </c>
      <c r="J30" s="241">
        <f>IF(AND(EstVelocity&lt;&gt;"",LabelB1="Y"),"Est. Velocity:","")</f>
      </c>
      <c r="K30" s="235">
        <f>IF(AND(EstVelocity&lt;&gt;"",LabelB1="Y"),EstVelocity,"")</f>
      </c>
      <c r="L30" s="219"/>
      <c r="M30" s="241">
        <f>IF(AND(LoadDate&lt;&gt;"",LabelB2="Y"),"Date:","")</f>
      </c>
      <c r="N30" s="221">
        <f>IF(AND(LoadDate&lt;&gt;"",LabelB2="Y"),LoadDate,"")</f>
      </c>
      <c r="O30" s="241">
        <f>IF(AND(EstVelocity&lt;&gt;"",LabelB2="Y"),"Est. Velocity:","")</f>
      </c>
      <c r="P30" s="235">
        <f>IF(AND(EstVelocity&lt;&gt;"",LabelB2="Y"),EstVelocity,"")</f>
      </c>
      <c r="Q30" s="220"/>
      <c r="R30" s="241">
        <f>IF(AND(LoadDate&lt;&gt;"",LabelB3="Y"),"Date:","")</f>
      </c>
      <c r="S30" s="221">
        <f>IF(AND(LoadDate&lt;&gt;"",LabelB3="Y"),LoadDate,"")</f>
      </c>
      <c r="T30" s="241">
        <f>IF(AND(EstVelocity&lt;&gt;"",LabelB3="Y"),"Est. Velocity:","")</f>
      </c>
      <c r="U30" s="235">
        <f>IF(AND(EstVelocity&lt;&gt;"",LabelB3="Y"),EstVelocity,"")</f>
      </c>
    </row>
    <row r="31" spans="1:20" ht="12" customHeight="1">
      <c r="A31" s="187"/>
      <c r="B31" s="187"/>
      <c r="C31" s="187"/>
      <c r="D31" s="187"/>
      <c r="E31" s="187"/>
      <c r="F31" s="187"/>
      <c r="G31" s="187"/>
      <c r="H31" s="187"/>
      <c r="I31" s="187"/>
      <c r="J31" s="187"/>
      <c r="K31" s="187"/>
      <c r="L31" s="187"/>
      <c r="M31" s="187"/>
      <c r="N31" s="187"/>
      <c r="O31" s="187"/>
      <c r="P31" s="187"/>
      <c r="Q31" s="187"/>
      <c r="R31" s="187"/>
      <c r="S31" s="187"/>
      <c r="T31" s="187"/>
    </row>
    <row r="32" spans="1:21" ht="12" customHeight="1">
      <c r="A32" s="187"/>
      <c r="B32" s="187"/>
      <c r="C32" s="187"/>
      <c r="D32" s="187"/>
      <c r="E32" s="187"/>
      <c r="F32" s="187"/>
      <c r="G32" s="194"/>
      <c r="H32" s="240">
        <f>IF(AND(Caliber&lt;&gt;"",LabelB4="Y"),"Caliber:","")</f>
      </c>
      <c r="I32" s="235">
        <f>IF(AND(Caliber&lt;&gt;"",LabelB4="Y"),Caliber,"")</f>
      </c>
      <c r="J32" s="241">
        <f>IF(AND(PowderType&lt;&gt;"",LabelB4="Y"),"Powder Type:","")</f>
      </c>
      <c r="K32" s="235">
        <f>IF(AND(PowderType&lt;&gt;"",LabelB4="Y"),PowderType,"")</f>
      </c>
      <c r="L32" s="219"/>
      <c r="M32" s="240">
        <f>IF(AND(Caliber&lt;&gt;"",LabelB5="Y"),"Caliber:","")</f>
      </c>
      <c r="N32" s="235">
        <f>IF(AND(Caliber&lt;&gt;"",LabelB5="Y"),Caliber,"")</f>
      </c>
      <c r="O32" s="241">
        <f>IF(AND(PowderType&lt;&gt;"",LabelB5="Y"),"Powder Type:","")</f>
      </c>
      <c r="P32" s="235">
        <f>IF(AND(PowderType&lt;&gt;"",LabelB5="Y"),PowderType,"")</f>
      </c>
      <c r="Q32" s="197"/>
      <c r="R32" s="240">
        <f>IF(AND(Caliber&lt;&gt;"",LabelB6="Y"),"Caliber:","")</f>
      </c>
      <c r="S32" s="235">
        <f>IF(AND(Caliber&lt;&gt;"",LabelB6="Y"),Caliber,"")</f>
      </c>
      <c r="T32" s="241">
        <f>IF(AND(PowderType&lt;&gt;"",LabelB6="Y"),"Powder Type:","")</f>
      </c>
      <c r="U32" s="235">
        <f>IF(AND(PowderType&lt;&gt;"",LabelB6="Y"),PowderType,"")</f>
      </c>
    </row>
    <row r="33" spans="1:21" ht="12" customHeight="1">
      <c r="A33" s="187"/>
      <c r="B33" s="187"/>
      <c r="C33" s="187"/>
      <c r="D33" s="187"/>
      <c r="E33" s="187"/>
      <c r="F33" s="187"/>
      <c r="G33" s="187"/>
      <c r="H33" s="241">
        <f>IF(AND(CaseType&lt;&gt;"",LabelB4="Y"),"Case Type:","")</f>
      </c>
      <c r="I33" s="235">
        <f>IF(AND(CaseType&lt;&gt;"",LabelB4="Y"),CaseType,"")</f>
      </c>
      <c r="J33" s="241">
        <f>IF(AND(PowderWeight&lt;&gt;"",LabelB4="Y"),"Powder Weight:","")</f>
      </c>
      <c r="K33" s="235">
        <f>IF(AND(PowderWeight&lt;&gt;"",LabelB4="Y"),PowderWeight,"")</f>
      </c>
      <c r="L33" s="219"/>
      <c r="M33" s="241">
        <f>IF(AND(CaseType&lt;&gt;"",LabelB5="Y"),"Case Type:","")</f>
      </c>
      <c r="N33" s="235">
        <f>IF(AND(CaseType&lt;&gt;"",LabelB5="Y"),CaseType,"")</f>
      </c>
      <c r="O33" s="241">
        <f>IF(AND(PowderWeight&lt;&gt;"",LabelB5="Y"),"Powder Weight:","")</f>
      </c>
      <c r="P33" s="235">
        <f>IF(AND(PowderWeight&lt;&gt;"",LabelB5="Y"),PowderWeight,"")</f>
      </c>
      <c r="Q33" s="220"/>
      <c r="R33" s="241">
        <f>IF(AND(CaseType&lt;&gt;"",LabelB6="Y"),"Case Type:","")</f>
      </c>
      <c r="S33" s="235">
        <f>IF(AND(CaseType&lt;&gt;"",LabelB6="Y"),CaseType,"")</f>
      </c>
      <c r="T33" s="241">
        <f>IF(AND(PowderWeight&lt;&gt;"",LabelB6="Y"),"Powder Weight:","")</f>
      </c>
      <c r="U33" s="235">
        <f>IF(AND(PowderWeight&lt;&gt;"",LabelB6="Y"),PowderWeight,"")</f>
      </c>
    </row>
    <row r="34" spans="1:21" ht="12" customHeight="1">
      <c r="A34" s="187"/>
      <c r="B34" s="187"/>
      <c r="C34" s="187"/>
      <c r="D34" s="187"/>
      <c r="E34" s="187"/>
      <c r="F34" s="187"/>
      <c r="G34" s="187"/>
      <c r="H34" s="241">
        <f>IF(AND(BulletBrand&lt;&gt;"",LabelB4="Y"),"Bullet Brand:","")</f>
      </c>
      <c r="I34" s="235">
        <f>IF(AND(BulletBrand&lt;&gt;"",LabelB4="Y"),BulletBrand,"")</f>
      </c>
      <c r="J34" s="241">
        <f>IF(AND(PrimerBrand&lt;&gt;"",LabelB4="Y"),"Primer Brand:","")</f>
      </c>
      <c r="K34" s="235">
        <f>IF(AND(PrimerBrand&lt;&gt;"",LabelB4="Y"),PrimerBrand,"")</f>
      </c>
      <c r="L34" s="219"/>
      <c r="M34" s="241">
        <f>IF(AND(BulletBrand&lt;&gt;"",LabelB5="Y"),"Bullet Brand:","")</f>
      </c>
      <c r="N34" s="235">
        <f>IF(AND(BulletBrand&lt;&gt;"",LabelB5="Y"),BulletBrand,"")</f>
      </c>
      <c r="O34" s="241">
        <f>IF(AND(PrimerBrand&lt;&gt;"",LabelB5="Y"),"Primer Brand:","")</f>
      </c>
      <c r="P34" s="235">
        <f>IF(AND(PrimerBrand&lt;&gt;"",LabelB5="Y"),PrimerBrand,"")</f>
      </c>
      <c r="Q34" s="220"/>
      <c r="R34" s="241">
        <f>IF(AND(BulletBrand&lt;&gt;"",LabelB6="Y"),"Bullet Brand:","")</f>
      </c>
      <c r="S34" s="235">
        <f>IF(AND(BulletBrand&lt;&gt;"",LabelB6="Y"),BulletBrand,"")</f>
      </c>
      <c r="T34" s="241">
        <f>IF(AND(PrimerBrand&lt;&gt;"",LabelB6="Y"),"Primer Brand:","")</f>
      </c>
      <c r="U34" s="235">
        <f>IF(AND(PrimerBrand&lt;&gt;"",LabelB6="Y"),PrimerBrand,"")</f>
      </c>
    </row>
    <row r="35" spans="1:21" ht="12" customHeight="1">
      <c r="A35" s="187"/>
      <c r="B35" s="187"/>
      <c r="C35" s="187"/>
      <c r="D35" s="187"/>
      <c r="E35" s="187"/>
      <c r="F35" s="187"/>
      <c r="G35" s="187"/>
      <c r="H35" s="241">
        <f>IF(AND(BulletType&lt;&gt;"",LabelB4="Y"),"Bullet Type:","")</f>
      </c>
      <c r="I35" s="235">
        <f>IF(AND(BulletType&lt;&gt;"",LabelB4="Y"),BulletType,"")</f>
      </c>
      <c r="J35" s="241">
        <f>IF(AND(PrimerType&lt;&gt;"",LabelB4="Y"),"Primer Type/Lot:","")</f>
      </c>
      <c r="K35" s="235">
        <f>IF(AND(PrimerType&lt;&gt;"",LabelB4="Y"),PrimerType,"")</f>
      </c>
      <c r="L35" s="219"/>
      <c r="M35" s="241">
        <f>IF(AND(BulletType&lt;&gt;"",LabelB5="Y"),"Bullet Type:","")</f>
      </c>
      <c r="N35" s="235">
        <f>IF(AND(BulletType&lt;&gt;"",LabelB5="Y"),BulletType,"")</f>
      </c>
      <c r="O35" s="241">
        <f>IF(AND(PrimerType&lt;&gt;"",LabelB5="Y"),"Primer Type/Lot:","")</f>
      </c>
      <c r="P35" s="235">
        <f>IF(AND(PrimerType&lt;&gt;"",LabelB5="Y"),PrimerType,"")</f>
      </c>
      <c r="Q35" s="220"/>
      <c r="R35" s="241">
        <f>IF(AND(BulletType&lt;&gt;"",LabelB6="Y"),"Bullet Type:","")</f>
      </c>
      <c r="S35" s="235">
        <f>IF(AND(BulletType&lt;&gt;"",LabelB6="Y"),BulletType,"")</f>
      </c>
      <c r="T35" s="241">
        <f>IF(AND(PrimerType&lt;&gt;"",LabelB6="Y"),"Primer Type/Lot:","")</f>
      </c>
      <c r="U35" s="235">
        <f>IF(AND(PrimerType&lt;&gt;"",LabelB6="Y"),PrimerType,"")</f>
      </c>
    </row>
    <row r="36" spans="1:21" ht="12" customHeight="1">
      <c r="A36" s="187"/>
      <c r="B36" s="187"/>
      <c r="C36" s="187"/>
      <c r="D36" s="187"/>
      <c r="E36" s="187"/>
      <c r="F36" s="187"/>
      <c r="G36" s="187"/>
      <c r="H36" s="241">
        <f>IF(AND(BulletWeight&lt;&gt;"",LabelB4="Y"),"Bullet Wt:","")</f>
      </c>
      <c r="I36" s="235">
        <f>IF(AND(BulletWeight&lt;&gt;"",LabelB4="Y"),BulletWeight,"")</f>
      </c>
      <c r="J36" s="241">
        <f>IF(AND(OAL&lt;&gt;"",LabelB4="Y"),"OAL:","")</f>
      </c>
      <c r="K36" s="235">
        <f>IF(AND(OAL&lt;&gt;"",LabelB4="Y"),OAL,"")</f>
      </c>
      <c r="L36" s="219"/>
      <c r="M36" s="241">
        <f>IF(AND(BulletWeight&lt;&gt;"",LabelB5="Y"),"Bullet Wt:","")</f>
      </c>
      <c r="N36" s="235">
        <f>IF(AND(BulletWeight&lt;&gt;"",LabelB5="Y"),BulletWeight,"")</f>
      </c>
      <c r="O36" s="241">
        <f>IF(AND(OAL&lt;&gt;"",LabelB5="Y"),"OAL:","")</f>
      </c>
      <c r="P36" s="235">
        <f>IF(AND(OAL&lt;&gt;"",LabelB5="Y"),OAL,"")</f>
      </c>
      <c r="Q36" s="220"/>
      <c r="R36" s="241">
        <f>IF(AND(BulletWeight&lt;&gt;"",LabelB6="Y"),"Bullet Wt:","")</f>
      </c>
      <c r="S36" s="235">
        <f>IF(AND(BulletWeight&lt;&gt;"",LabelB6="Y"),BulletWeight,"")</f>
      </c>
      <c r="T36" s="241">
        <f>IF(AND(OAL&lt;&gt;"",LabelB6="Y"),"OAL:","")</f>
      </c>
      <c r="U36" s="235">
        <f>IF(AND(OAL&lt;&gt;"",LabelB6="Y"),OAL,"")</f>
      </c>
    </row>
    <row r="37" spans="1:21" ht="12" customHeight="1">
      <c r="A37" s="187"/>
      <c r="B37" s="187"/>
      <c r="C37" s="187"/>
      <c r="D37" s="187"/>
      <c r="E37" s="187"/>
      <c r="F37" s="187"/>
      <c r="G37" s="187"/>
      <c r="H37" s="241">
        <f>IF(AND(LoadDate&lt;&gt;"",LabelB4="Y"),"Date:","")</f>
      </c>
      <c r="I37" s="221">
        <f>IF(AND(LoadDate&lt;&gt;"",LabelB4="Y"),LoadDate,"")</f>
      </c>
      <c r="J37" s="241">
        <f>IF(AND(EstVelocity&lt;&gt;"",LabelB4="Y"),"Est. Velocity:","")</f>
      </c>
      <c r="K37" s="235">
        <f>IF(AND(EstVelocity&lt;&gt;"",LabelB4="Y"),EstVelocity,"")</f>
      </c>
      <c r="L37" s="219"/>
      <c r="M37" s="241">
        <f>IF(AND(LoadDate&lt;&gt;"",LabelB5="Y"),"Date:","")</f>
      </c>
      <c r="N37" s="221">
        <f>IF(AND(LoadDate&lt;&gt;"",LabelB5="Y"),LoadDate,"")</f>
      </c>
      <c r="O37" s="241">
        <f>IF(AND(EstVelocity&lt;&gt;"",LabelB5="Y"),"Est. Velocity:","")</f>
      </c>
      <c r="P37" s="235">
        <f>IF(AND(EstVelocity&lt;&gt;"",LabelB5="Y"),EstVelocity,"")</f>
      </c>
      <c r="Q37" s="220"/>
      <c r="R37" s="241">
        <f>IF(AND(LoadDate&lt;&gt;"",LabelB6="Y"),"Date:","")</f>
      </c>
      <c r="S37" s="221">
        <f>IF(AND(LoadDate&lt;&gt;"",LabelB6="Y"),LoadDate,"")</f>
      </c>
      <c r="T37" s="241">
        <f>IF(AND(EstVelocity&lt;&gt;"",LabelB6="Y"),"Est. Velocity:","")</f>
      </c>
      <c r="U37" s="235">
        <f>IF(AND(EstVelocity&lt;&gt;"",LabelB6="Y"),EstVelocity,"")</f>
      </c>
    </row>
    <row r="38" spans="1:21" ht="12" customHeight="1">
      <c r="A38" s="187"/>
      <c r="B38" s="187"/>
      <c r="C38" s="187"/>
      <c r="D38" s="187"/>
      <c r="E38" s="187"/>
      <c r="F38" s="187"/>
      <c r="G38" s="187"/>
      <c r="H38" s="187"/>
      <c r="I38" s="187"/>
      <c r="J38" s="187"/>
      <c r="K38" s="187"/>
      <c r="L38" s="187"/>
      <c r="M38" s="187"/>
      <c r="N38" s="187"/>
      <c r="O38" s="187"/>
      <c r="P38" s="187"/>
      <c r="Q38" s="187"/>
      <c r="R38" s="187"/>
      <c r="S38" s="187"/>
      <c r="T38" s="187"/>
      <c r="U38" s="187"/>
    </row>
    <row r="39" spans="1:21" ht="12" customHeight="1">
      <c r="A39" s="187"/>
      <c r="B39" s="187"/>
      <c r="C39" s="187"/>
      <c r="D39" s="187"/>
      <c r="E39" s="187"/>
      <c r="F39" s="187"/>
      <c r="G39" s="194"/>
      <c r="H39" s="240">
        <f>IF(AND(Caliber&lt;&gt;"",LabelB7="Y"),"Caliber:","")</f>
      </c>
      <c r="I39" s="235">
        <f>IF(AND(Caliber&lt;&gt;"",LabelB7="Y"),Caliber,"")</f>
      </c>
      <c r="J39" s="241">
        <f>IF(AND(PowderType&lt;&gt;"",LabelB7="Y"),"Powder Type:","")</f>
      </c>
      <c r="K39" s="235">
        <f>IF(AND(PowderType&lt;&gt;"",LabelB7="Y"),PowderType,"")</f>
      </c>
      <c r="L39" s="219"/>
      <c r="M39" s="240">
        <f>IF(AND(Caliber&lt;&gt;"",LabelB8="Y"),"Caliber:","")</f>
      </c>
      <c r="N39" s="235">
        <f>IF(AND(Caliber&lt;&gt;"",LabelB8="Y"),Caliber,"")</f>
      </c>
      <c r="O39" s="241">
        <f>IF(AND(PowderType&lt;&gt;"",LabelB8="Y"),"Powder Type:","")</f>
      </c>
      <c r="P39" s="235">
        <f>IF(AND(PowderType&lt;&gt;"",LabelB8="Y"),PowderType,"")</f>
      </c>
      <c r="Q39" s="197"/>
      <c r="R39" s="240">
        <f>IF(AND(Caliber&lt;&gt;"",LabelB9="Y"),"Caliber:","")</f>
      </c>
      <c r="S39" s="235">
        <f>IF(AND(Caliber&lt;&gt;"",LabelB9="Y"),Caliber,"")</f>
      </c>
      <c r="T39" s="241">
        <f>IF(AND(PowderType&lt;&gt;"",LabelB9="Y"),"Powder Type:","")</f>
      </c>
      <c r="U39" s="235">
        <f>IF(AND(PowderType&lt;&gt;"",LabelB9="Y"),PowderType,"")</f>
      </c>
    </row>
    <row r="40" spans="1:21" ht="12" customHeight="1">
      <c r="A40" s="187"/>
      <c r="B40" s="187"/>
      <c r="C40" s="187"/>
      <c r="D40" s="187"/>
      <c r="E40" s="187"/>
      <c r="F40" s="187"/>
      <c r="G40" s="187"/>
      <c r="H40" s="241">
        <f>IF(AND(CaseType&lt;&gt;"",LabelB7="Y"),"Case Type:","")</f>
      </c>
      <c r="I40" s="235">
        <f>IF(AND(CaseType&lt;&gt;"",LabelB7="Y"),CaseType,"")</f>
      </c>
      <c r="J40" s="241">
        <f>IF(AND(PowderWeight&lt;&gt;"",LabelB7="Y"),"Powder Weight:","")</f>
      </c>
      <c r="K40" s="235">
        <f>IF(AND(PowderWeight&lt;&gt;"",LabelB7="Y"),PowderWeight,"")</f>
      </c>
      <c r="L40" s="219"/>
      <c r="M40" s="241">
        <f>IF(AND(CaseType&lt;&gt;"",LabelB8="Y"),"Case Type:","")</f>
      </c>
      <c r="N40" s="235">
        <f>IF(AND(CaseType&lt;&gt;"",LabelB8="Y"),CaseType,"")</f>
      </c>
      <c r="O40" s="241">
        <f>IF(AND(PowderWeight&lt;&gt;"",LabelB8="Y"),"Powder Weight:","")</f>
      </c>
      <c r="P40" s="235">
        <f>IF(AND(PowderWeight&lt;&gt;"",LabelB8="Y"),PowderWeight,"")</f>
      </c>
      <c r="Q40" s="220"/>
      <c r="R40" s="241">
        <f>IF(AND(CaseType&lt;&gt;"",LabelB9="Y"),"Case Type:","")</f>
      </c>
      <c r="S40" s="235">
        <f>IF(AND(CaseType&lt;&gt;"",LabelB9="Y"),CaseType,"")</f>
      </c>
      <c r="T40" s="241">
        <f>IF(AND(PowderWeight&lt;&gt;"",LabelB9="Y"),"Powder Weight:","")</f>
      </c>
      <c r="U40" s="235">
        <f>IF(AND(PowderWeight&lt;&gt;"",LabelB9="Y"),PowderWeight,"")</f>
      </c>
    </row>
    <row r="41" spans="1:21" ht="12" customHeight="1">
      <c r="A41" s="187"/>
      <c r="B41" s="187"/>
      <c r="C41" s="187"/>
      <c r="D41" s="187"/>
      <c r="E41" s="187"/>
      <c r="F41" s="187"/>
      <c r="G41" s="187"/>
      <c r="H41" s="241">
        <f>IF(AND(BulletBrand&lt;&gt;"",LabelB7="Y"),"Bullet Brand:","")</f>
      </c>
      <c r="I41" s="235">
        <f>IF(AND(BulletBrand&lt;&gt;"",LabelB7="Y"),BulletBrand,"")</f>
      </c>
      <c r="J41" s="241">
        <f>IF(AND(PrimerBrand&lt;&gt;"",LabelB7="Y"),"Primer Brand:","")</f>
      </c>
      <c r="K41" s="235">
        <f>IF(AND(PrimerBrand&lt;&gt;"",LabelB7="Y"),PrimerBrand,"")</f>
      </c>
      <c r="L41" s="219"/>
      <c r="M41" s="241">
        <f>IF(AND(BulletBrand&lt;&gt;"",LabelB8="Y"),"Bullet Brand:","")</f>
      </c>
      <c r="N41" s="235">
        <f>IF(AND(BulletBrand&lt;&gt;"",LabelB8="Y"),BulletBrand,"")</f>
      </c>
      <c r="O41" s="241">
        <f>IF(AND(PrimerBrand&lt;&gt;"",LabelB8="Y"),"Primer Brand:","")</f>
      </c>
      <c r="P41" s="235">
        <f>IF(AND(PrimerBrand&lt;&gt;"",LabelB8="Y"),PrimerBrand,"")</f>
      </c>
      <c r="Q41" s="220"/>
      <c r="R41" s="241">
        <f>IF(AND(BulletBrand&lt;&gt;"",LabelB9="Y"),"Bullet Brand:","")</f>
      </c>
      <c r="S41" s="235">
        <f>IF(AND(BulletBrand&lt;&gt;"",LabelB9="Y"),BulletBrand,"")</f>
      </c>
      <c r="T41" s="241">
        <f>IF(AND(PrimerBrand&lt;&gt;"",LabelB9="Y"),"Primer Brand:","")</f>
      </c>
      <c r="U41" s="235">
        <f>IF(AND(PrimerBrand&lt;&gt;"",LabelB9="Y"),PrimerBrand,"")</f>
      </c>
    </row>
    <row r="42" spans="1:21" ht="12" customHeight="1">
      <c r="A42" s="187"/>
      <c r="B42" s="187"/>
      <c r="C42" s="187"/>
      <c r="D42" s="187"/>
      <c r="E42" s="187"/>
      <c r="F42" s="187"/>
      <c r="G42" s="187"/>
      <c r="H42" s="241">
        <f>IF(AND(BulletType&lt;&gt;"",LabelB7="Y"),"Bullet Type:","")</f>
      </c>
      <c r="I42" s="235">
        <f>IF(AND(BulletType&lt;&gt;"",LabelB7="Y"),BulletType,"")</f>
      </c>
      <c r="J42" s="241">
        <f>IF(AND(PrimerType&lt;&gt;"",LabelB7="Y"),"Primer Type/Lot:","")</f>
      </c>
      <c r="K42" s="235">
        <f>IF(AND(PrimerType&lt;&gt;"",LabelB7="Y"),PrimerType,"")</f>
      </c>
      <c r="L42" s="219"/>
      <c r="M42" s="241">
        <f>IF(AND(BulletType&lt;&gt;"",LabelB8="Y"),"Bullet Type:","")</f>
      </c>
      <c r="N42" s="235">
        <f>IF(AND(BulletType&lt;&gt;"",LabelB8="Y"),BulletType,"")</f>
      </c>
      <c r="O42" s="241">
        <f>IF(AND(PrimerType&lt;&gt;"",LabelB8="Y"),"Primer Type/Lot:","")</f>
      </c>
      <c r="P42" s="235">
        <f>IF(AND(PrimerType&lt;&gt;"",LabelB8="Y"),PrimerType,"")</f>
      </c>
      <c r="Q42" s="220"/>
      <c r="R42" s="241">
        <f>IF(AND(BulletType&lt;&gt;"",LabelB9="Y"),"Bullet Type:","")</f>
      </c>
      <c r="S42" s="235">
        <f>IF(AND(BulletType&lt;&gt;"",LabelB9="Y"),BulletType,"")</f>
      </c>
      <c r="T42" s="241">
        <f>IF(AND(PrimerType&lt;&gt;"",LabelB9="Y"),"Primer Type/Lot:","")</f>
      </c>
      <c r="U42" s="235">
        <f>IF(AND(PrimerType&lt;&gt;"",LabelB9="Y"),PrimerType,"")</f>
      </c>
    </row>
    <row r="43" spans="1:21" ht="12" customHeight="1">
      <c r="A43" s="187"/>
      <c r="B43" s="187"/>
      <c r="C43" s="187"/>
      <c r="D43" s="187"/>
      <c r="E43" s="187"/>
      <c r="F43" s="187"/>
      <c r="G43" s="187"/>
      <c r="H43" s="241">
        <f>IF(AND(BulletWeight&lt;&gt;"",LabelB7="Y"),"Bullet Wt:","")</f>
      </c>
      <c r="I43" s="235">
        <f>IF(AND(BulletWeight&lt;&gt;"",LabelB7="Y"),BulletWeight,"")</f>
      </c>
      <c r="J43" s="241">
        <f>IF(AND(OAL&lt;&gt;"",LabelB7="Y"),"OAL:","")</f>
      </c>
      <c r="K43" s="235">
        <f>IF(AND(OAL&lt;&gt;"",LabelB7="Y"),OAL,"")</f>
      </c>
      <c r="L43" s="219"/>
      <c r="M43" s="241">
        <f>IF(AND(BulletWeight&lt;&gt;"",LabelB8="Y"),"Bullet Wt:","")</f>
      </c>
      <c r="N43" s="235">
        <f>IF(AND(BulletWeight&lt;&gt;"",LabelB8="Y"),BulletWeight,"")</f>
      </c>
      <c r="O43" s="241">
        <f>IF(AND(OAL&lt;&gt;"",LabelB8="Y"),"OAL:","")</f>
      </c>
      <c r="P43" s="235">
        <f>IF(AND(OAL&lt;&gt;"",LabelB8="Y"),OAL,"")</f>
      </c>
      <c r="Q43" s="220"/>
      <c r="R43" s="241">
        <f>IF(AND(BulletWeight&lt;&gt;"",LabelB9="Y"),"Bullet Wt:","")</f>
      </c>
      <c r="S43" s="235">
        <f>IF(AND(BulletWeight&lt;&gt;"",LabelB9="Y"),BulletWeight,"")</f>
      </c>
      <c r="T43" s="241">
        <f>IF(AND(OAL&lt;&gt;"",LabelB9="Y"),"OAL:","")</f>
      </c>
      <c r="U43" s="235">
        <f>IF(AND(OAL&lt;&gt;"",LabelB9="Y"),OAL,"")</f>
      </c>
    </row>
    <row r="44" spans="1:21" ht="12" customHeight="1">
      <c r="A44" s="187"/>
      <c r="B44" s="187"/>
      <c r="C44" s="187"/>
      <c r="D44" s="187"/>
      <c r="E44" s="187"/>
      <c r="F44" s="187"/>
      <c r="G44" s="187"/>
      <c r="H44" s="241">
        <f>IF(AND(LoadDate&lt;&gt;"",LabelB7="Y"),"Date:","")</f>
      </c>
      <c r="I44" s="221">
        <f>IF(AND(LoadDate&lt;&gt;"",LabelB7="Y"),LoadDate,"")</f>
      </c>
      <c r="J44" s="241">
        <f>IF(AND(EstVelocity&lt;&gt;"",LabelB7="Y"),"Est. Velocity:","")</f>
      </c>
      <c r="K44" s="235">
        <f>IF(AND(EstVelocity&lt;&gt;"",LabelB7="Y"),EstVelocity,"")</f>
      </c>
      <c r="L44" s="219"/>
      <c r="M44" s="241">
        <f>IF(AND(LoadDate&lt;&gt;"",LabelB8="Y"),"Date:","")</f>
      </c>
      <c r="N44" s="221">
        <f>IF(AND(LoadDate&lt;&gt;"",LabelB8="Y"),LoadDate,"")</f>
      </c>
      <c r="O44" s="241">
        <f>IF(AND(EstVelocity&lt;&gt;"",LabelB8="Y"),"Est. Velocity:","")</f>
      </c>
      <c r="P44" s="235">
        <f>IF(AND(EstVelocity&lt;&gt;"",LabelB8="Y"),EstVelocity,"")</f>
      </c>
      <c r="Q44" s="220"/>
      <c r="R44" s="241">
        <f>IF(AND(LoadDate&lt;&gt;"",LabelB9="Y"),"Date:","")</f>
      </c>
      <c r="S44" s="221">
        <f>IF(AND(LoadDate&lt;&gt;"",LabelB9="Y"),LoadDate,"")</f>
      </c>
      <c r="T44" s="241">
        <f>IF(AND(EstVelocity&lt;&gt;"",LabelB9="Y"),"Est. Velocity:","")</f>
      </c>
      <c r="U44" s="235">
        <f>IF(AND(EstVelocity&lt;&gt;"",LabelB9="Y"),EstVelocity,"")</f>
      </c>
    </row>
    <row r="45" spans="1:21" ht="12" customHeight="1">
      <c r="A45" s="187"/>
      <c r="B45" s="187"/>
      <c r="C45" s="187"/>
      <c r="D45" s="187"/>
      <c r="E45" s="187"/>
      <c r="F45" s="187"/>
      <c r="G45" s="187"/>
      <c r="H45" s="187"/>
      <c r="I45" s="187"/>
      <c r="J45" s="187"/>
      <c r="K45" s="187"/>
      <c r="L45" s="187"/>
      <c r="M45" s="187"/>
      <c r="N45" s="187"/>
      <c r="O45" s="187"/>
      <c r="P45" s="187"/>
      <c r="Q45" s="187"/>
      <c r="R45" s="187"/>
      <c r="S45" s="187"/>
      <c r="T45" s="187"/>
      <c r="U45" s="187"/>
    </row>
    <row r="46" spans="1:21" ht="12" customHeight="1">
      <c r="A46" s="187"/>
      <c r="B46" s="187"/>
      <c r="C46" s="187"/>
      <c r="D46" s="187"/>
      <c r="E46" s="187"/>
      <c r="F46" s="187"/>
      <c r="G46" s="194"/>
      <c r="H46" s="240">
        <f>IF(AND(Caliber&lt;&gt;"",LabelB10="Y"),"Caliber:","")</f>
      </c>
      <c r="I46" s="235">
        <f>IF(AND(Caliber&lt;&gt;"",LabelB10="Y"),Caliber,"")</f>
      </c>
      <c r="J46" s="241">
        <f>IF(AND(PowderType&lt;&gt;"",LabelB10="Y"),"Powder Type:","")</f>
      </c>
      <c r="K46" s="235">
        <f>IF(AND(PowderType&lt;&gt;"",LabelB10="Y"),PowderType,"")</f>
      </c>
      <c r="L46" s="219"/>
      <c r="M46" s="240">
        <f>IF(AND(Caliber&lt;&gt;"",LabelB11="Y"),"Caliber:","")</f>
      </c>
      <c r="N46" s="235">
        <f>IF(AND(Caliber&lt;&gt;"",LabelB11="Y"),Caliber,"")</f>
      </c>
      <c r="O46" s="241">
        <f>IF(AND(PowderType&lt;&gt;"",LabelB11="Y"),"Powder Type:","")</f>
      </c>
      <c r="P46" s="235">
        <f>IF(AND(PowderType&lt;&gt;"",LabelB11="Y"),PowderType,"")</f>
      </c>
      <c r="Q46" s="197"/>
      <c r="R46" s="240">
        <f>IF(AND(Caliber&lt;&gt;"",LabelB12="Y"),"Caliber:","")</f>
      </c>
      <c r="S46" s="235">
        <f>IF(AND(Caliber&lt;&gt;"",LabelB12="Y"),Caliber,"")</f>
      </c>
      <c r="T46" s="241">
        <f>IF(AND(PowderType&lt;&gt;"",LabelB12="Y"),"Powder Type:","")</f>
      </c>
      <c r="U46" s="235">
        <f>IF(AND(PowderType&lt;&gt;"",LabelB12="Y"),PowderType,"")</f>
      </c>
    </row>
    <row r="47" spans="1:21" ht="12" customHeight="1">
      <c r="A47" s="187"/>
      <c r="B47" s="187"/>
      <c r="C47" s="187"/>
      <c r="D47" s="187"/>
      <c r="E47" s="187"/>
      <c r="F47" s="187"/>
      <c r="G47" s="187"/>
      <c r="H47" s="241">
        <f>IF(AND(CaseType&lt;&gt;"",LabelB10="Y"),"Case Type:","")</f>
      </c>
      <c r="I47" s="235">
        <f>IF(AND(CaseType&lt;&gt;"",LabelB10="Y"),CaseType,"")</f>
      </c>
      <c r="J47" s="241">
        <f>IF(AND(PowderWeight&lt;&gt;"",LabelB10="Y"),"Powder Weight:","")</f>
      </c>
      <c r="K47" s="235">
        <f>IF(AND(PowderWeight&lt;&gt;"",LabelB10="Y"),PowderWeight,"")</f>
      </c>
      <c r="L47" s="219"/>
      <c r="M47" s="241">
        <f>IF(AND(CaseType&lt;&gt;"",LabelB11="Y"),"Case Type:","")</f>
      </c>
      <c r="N47" s="235">
        <f>IF(AND(CaseType&lt;&gt;"",LabelB11="Y"),CaseType,"")</f>
      </c>
      <c r="O47" s="241">
        <f>IF(AND(PowderWeight&lt;&gt;"",LabelB11="Y"),"Powder Weight:","")</f>
      </c>
      <c r="P47" s="235">
        <f>IF(AND(PowderWeight&lt;&gt;"",LabelB11="Y"),PowderWeight,"")</f>
      </c>
      <c r="Q47" s="220"/>
      <c r="R47" s="241">
        <f>IF(AND(CaseType&lt;&gt;"",LabelB12="Y"),"Case Type:","")</f>
      </c>
      <c r="S47" s="235">
        <f>IF(AND(CaseType&lt;&gt;"",LabelB12="Y"),CaseType,"")</f>
      </c>
      <c r="T47" s="241">
        <f>IF(AND(PowderWeight&lt;&gt;"",LabelB12="Y"),"Powder Weight:","")</f>
      </c>
      <c r="U47" s="235">
        <f>IF(AND(PowderWeight&lt;&gt;"",LabelB12="Y"),PowderWeight,"")</f>
      </c>
    </row>
    <row r="48" spans="1:21" ht="12" customHeight="1">
      <c r="A48" s="187"/>
      <c r="B48" s="187"/>
      <c r="C48" s="187"/>
      <c r="D48" s="187"/>
      <c r="E48" s="187"/>
      <c r="F48" s="187"/>
      <c r="G48" s="187"/>
      <c r="H48" s="241">
        <f>IF(AND(BulletBrand&lt;&gt;"",LabelB10="Y"),"Bullet Brand:","")</f>
      </c>
      <c r="I48" s="235">
        <f>IF(AND(BulletBrand&lt;&gt;"",LabelB10="Y"),BulletBrand,"")</f>
      </c>
      <c r="J48" s="241">
        <f>IF(AND(PrimerBrand&lt;&gt;"",LabelB10="Y"),"Primer Brand:","")</f>
      </c>
      <c r="K48" s="235">
        <f>IF(AND(PrimerBrand&lt;&gt;"",LabelB10="Y"),PrimerBrand,"")</f>
      </c>
      <c r="L48" s="219"/>
      <c r="M48" s="241">
        <f>IF(AND(BulletBrand&lt;&gt;"",LabelB11="Y"),"Bullet Brand:","")</f>
      </c>
      <c r="N48" s="235">
        <f>IF(AND(BulletBrand&lt;&gt;"",LabelB11="Y"),BulletBrand,"")</f>
      </c>
      <c r="O48" s="241">
        <f>IF(AND(PrimerBrand&lt;&gt;"",LabelB11="Y"),"Primer Brand:","")</f>
      </c>
      <c r="P48" s="235">
        <f>IF(AND(PrimerBrand&lt;&gt;"",LabelB11="Y"),PrimerBrand,"")</f>
      </c>
      <c r="Q48" s="220"/>
      <c r="R48" s="241">
        <f>IF(AND(BulletBrand&lt;&gt;"",LabelB12="Y"),"Bullet Brand:","")</f>
      </c>
      <c r="S48" s="235">
        <f>IF(AND(BulletBrand&lt;&gt;"",LabelB12="Y"),BulletBrand,"")</f>
      </c>
      <c r="T48" s="241">
        <f>IF(AND(PrimerBrand&lt;&gt;"",LabelB12="Y"),"Primer Brand:","")</f>
      </c>
      <c r="U48" s="235">
        <f>IF(AND(PrimerBrand&lt;&gt;"",LabelB12="Y"),PrimerBrand,"")</f>
      </c>
    </row>
    <row r="49" spans="1:21" ht="12" customHeight="1">
      <c r="A49" s="187"/>
      <c r="B49" s="187"/>
      <c r="C49" s="187"/>
      <c r="D49" s="187"/>
      <c r="E49" s="187"/>
      <c r="F49" s="187"/>
      <c r="G49" s="187"/>
      <c r="H49" s="241">
        <f>IF(AND(BulletType&lt;&gt;"",LabelB10="Y"),"Bullet Type:","")</f>
      </c>
      <c r="I49" s="235">
        <f>IF(AND(BulletType&lt;&gt;"",LabelB10="Y"),BulletType,"")</f>
      </c>
      <c r="J49" s="241">
        <f>IF(AND(PrimerType&lt;&gt;"",LabelB10="Y"),"Primer Type/Lot:","")</f>
      </c>
      <c r="K49" s="235">
        <f>IF(AND(PrimerType&lt;&gt;"",LabelB10="Y"),PrimerType,"")</f>
      </c>
      <c r="L49" s="219"/>
      <c r="M49" s="241">
        <f>IF(AND(BulletType&lt;&gt;"",LabelB11="Y"),"Bullet Type:","")</f>
      </c>
      <c r="N49" s="235">
        <f>IF(AND(BulletType&lt;&gt;"",LabelB11="Y"),BulletType,"")</f>
      </c>
      <c r="O49" s="241">
        <f>IF(AND(PrimerType&lt;&gt;"",LabelB11="Y"),"Primer Type/Lot:","")</f>
      </c>
      <c r="P49" s="235">
        <f>IF(AND(PrimerType&lt;&gt;"",LabelB11="Y"),PrimerType,"")</f>
      </c>
      <c r="Q49" s="220"/>
      <c r="R49" s="241">
        <f>IF(AND(BulletType&lt;&gt;"",LabelB12="Y"),"Bullet Type:","")</f>
      </c>
      <c r="S49" s="235">
        <f>IF(AND(BulletType&lt;&gt;"",LabelB12="Y"),BulletType,"")</f>
      </c>
      <c r="T49" s="241">
        <f>IF(AND(PrimerType&lt;&gt;"",LabelB12="Y"),"Primer Type/Lot:","")</f>
      </c>
      <c r="U49" s="235">
        <f>IF(AND(PrimerType&lt;&gt;"",LabelB12="Y"),PrimerType,"")</f>
      </c>
    </row>
    <row r="50" spans="1:21" ht="12" customHeight="1">
      <c r="A50" s="187"/>
      <c r="B50" s="187"/>
      <c r="C50" s="187"/>
      <c r="D50" s="187"/>
      <c r="E50" s="187"/>
      <c r="F50" s="187"/>
      <c r="G50" s="187"/>
      <c r="H50" s="241">
        <f>IF(AND(BulletWeight&lt;&gt;"",LabelB10="Y"),"Bullet Wt:","")</f>
      </c>
      <c r="I50" s="235">
        <f>IF(AND(BulletWeight&lt;&gt;"",LabelB10="Y"),BulletWeight,"")</f>
      </c>
      <c r="J50" s="241">
        <f>IF(AND(OAL&lt;&gt;"",LabelB10="Y"),"OAL:","")</f>
      </c>
      <c r="K50" s="235">
        <f>IF(AND(OAL&lt;&gt;"",LabelB10="Y"),OAL,"")</f>
      </c>
      <c r="L50" s="219"/>
      <c r="M50" s="241">
        <f>IF(AND(BulletWeight&lt;&gt;"",LabelB11="Y"),"Bullet Wt:","")</f>
      </c>
      <c r="N50" s="235">
        <f>IF(AND(BulletWeight&lt;&gt;"",LabelB11="Y"),BulletWeight,"")</f>
      </c>
      <c r="O50" s="241">
        <f>IF(AND(OAL&lt;&gt;"",LabelB11="Y"),"OAL:","")</f>
      </c>
      <c r="P50" s="235">
        <f>IF(AND(OAL&lt;&gt;"",LabelB11="Y"),OAL,"")</f>
      </c>
      <c r="Q50" s="220"/>
      <c r="R50" s="241">
        <f>IF(AND(BulletWeight&lt;&gt;"",LabelB12="Y"),"Bullet Wt:","")</f>
      </c>
      <c r="S50" s="235">
        <f>IF(AND(BulletWeight&lt;&gt;"",LabelB12="Y"),BulletWeight,"")</f>
      </c>
      <c r="T50" s="241">
        <f>IF(AND(OAL&lt;&gt;"",LabelB12="Y"),"OAL:","")</f>
      </c>
      <c r="U50" s="235">
        <f>IF(AND(OAL&lt;&gt;"",LabelB12="Y"),OAL,"")</f>
      </c>
    </row>
    <row r="51" spans="1:21" ht="12" customHeight="1">
      <c r="A51" s="187"/>
      <c r="B51" s="187"/>
      <c r="C51" s="187"/>
      <c r="D51" s="187"/>
      <c r="E51" s="187"/>
      <c r="F51" s="187"/>
      <c r="G51" s="187"/>
      <c r="H51" s="241">
        <f>IF(AND(LoadDate&lt;&gt;"",LabelB10="Y"),"Date:","")</f>
      </c>
      <c r="I51" s="221">
        <f>IF(AND(LoadDate&lt;&gt;"",LabelB10="Y"),LoadDate,"")</f>
      </c>
      <c r="J51" s="241">
        <f>IF(AND(EstVelocity&lt;&gt;"",LabelB10="Y"),"Est. Velocity:","")</f>
      </c>
      <c r="K51" s="235">
        <f>IF(AND(EstVelocity&lt;&gt;"",LabelB10="Y"),EstVelocity,"")</f>
      </c>
      <c r="L51" s="219"/>
      <c r="M51" s="241">
        <f>IF(AND(LoadDate&lt;&gt;"",LabelB11="Y"),"Date:","")</f>
      </c>
      <c r="N51" s="221">
        <f>IF(AND(LoadDate&lt;&gt;"",LabelB11="Y"),LoadDate,"")</f>
      </c>
      <c r="O51" s="241">
        <f>IF(AND(EstVelocity&lt;&gt;"",LabelB11="Y"),"Est. Velocity:","")</f>
      </c>
      <c r="P51" s="235">
        <f>IF(AND(EstVelocity&lt;&gt;"",LabelB11="Y"),EstVelocity,"")</f>
      </c>
      <c r="Q51" s="220"/>
      <c r="R51" s="241">
        <f>IF(AND(LoadDate&lt;&gt;"",LabelB12="Y"),"Date:","")</f>
      </c>
      <c r="S51" s="221">
        <f>IF(AND(LoadDate&lt;&gt;"",LabelB12="Y"),LoadDate,"")</f>
      </c>
      <c r="T51" s="241">
        <f>IF(AND(EstVelocity&lt;&gt;"",LabelB12="Y"),"Est. Velocity:","")</f>
      </c>
      <c r="U51" s="235">
        <f>IF(AND(EstVelocity&lt;&gt;"",LabelB12="Y"),EstVelocity,"")</f>
      </c>
    </row>
    <row r="52" spans="1:21" ht="12" customHeight="1">
      <c r="A52" s="187"/>
      <c r="B52" s="187"/>
      <c r="C52" s="187"/>
      <c r="D52" s="187"/>
      <c r="E52" s="187"/>
      <c r="F52" s="187"/>
      <c r="G52" s="187"/>
      <c r="H52" s="187"/>
      <c r="I52" s="187"/>
      <c r="J52" s="187"/>
      <c r="K52" s="187"/>
      <c r="L52" s="187"/>
      <c r="M52" s="187"/>
      <c r="N52" s="187"/>
      <c r="O52" s="187"/>
      <c r="P52" s="187"/>
      <c r="Q52" s="187"/>
      <c r="R52" s="187"/>
      <c r="S52" s="187"/>
      <c r="T52" s="187"/>
      <c r="U52" s="187"/>
    </row>
    <row r="53" spans="1:21" ht="12" customHeight="1">
      <c r="A53" s="187"/>
      <c r="B53" s="187"/>
      <c r="C53" s="187"/>
      <c r="D53" s="187"/>
      <c r="E53" s="187"/>
      <c r="F53" s="187"/>
      <c r="G53" s="194"/>
      <c r="H53" s="240">
        <f>IF(AND(Caliber&lt;&gt;"",LabelB13="Y"),"Caliber:","")</f>
      </c>
      <c r="I53" s="235">
        <f>IF(AND(Caliber&lt;&gt;"",LabelB13="Y"),Caliber,"")</f>
      </c>
      <c r="J53" s="241">
        <f>IF(AND(PowderType&lt;&gt;"",LabelB13="Y"),"Powder Type:","")</f>
      </c>
      <c r="K53" s="235">
        <f>IF(AND(PowderType&lt;&gt;"",LabelB13="Y"),PowderType,"")</f>
      </c>
      <c r="L53" s="197"/>
      <c r="M53" s="240">
        <f>IF(AND(Caliber&lt;&gt;"",LabelB14="Y"),"Caliber:","")</f>
      </c>
      <c r="N53" s="235">
        <f>IF(AND(Caliber&lt;&gt;"",LabelB14="Y"),Caliber,"")</f>
      </c>
      <c r="O53" s="241">
        <f>IF(AND(PowderType&lt;&gt;"",LabelB14="Y"),"Powder Type:","")</f>
      </c>
      <c r="P53" s="235">
        <f>IF(AND(PowderType&lt;&gt;"",LabelB14="Y"),PowderType,"")</f>
      </c>
      <c r="Q53" s="197"/>
      <c r="R53" s="240">
        <f>IF(AND(Caliber&lt;&gt;"",LabelB15="Y"),"Caliber:","")</f>
      </c>
      <c r="S53" s="235">
        <f>IF(AND(Caliber&lt;&gt;"",LabelB15="Y"),Caliber,"")</f>
      </c>
      <c r="T53" s="241">
        <f>IF(AND(PowderType&lt;&gt;"",LabelB15="Y"),"Powder Type:","")</f>
      </c>
      <c r="U53" s="235">
        <f>IF(AND(PowderType&lt;&gt;"",LabelB15="Y"),PowderType,"")</f>
      </c>
    </row>
    <row r="54" spans="1:21" ht="12" customHeight="1">
      <c r="A54" s="187"/>
      <c r="B54" s="187"/>
      <c r="C54" s="187"/>
      <c r="D54" s="187"/>
      <c r="E54" s="187"/>
      <c r="F54" s="187"/>
      <c r="G54" s="187"/>
      <c r="H54" s="241">
        <f>IF(AND(CaseType&lt;&gt;"",LabelB13="Y"),"Case Type:","")</f>
      </c>
      <c r="I54" s="235">
        <f>IF(AND(CaseType&lt;&gt;"",LabelB13="Y"),CaseType,"")</f>
      </c>
      <c r="J54" s="241">
        <f>IF(AND(PowderWeight&lt;&gt;"",LabelB13="Y"),"Powder Weight:","")</f>
      </c>
      <c r="K54" s="235">
        <f>IF(AND(PowderWeight&lt;&gt;"",LabelB13="Y"),PowderWeight,"")</f>
      </c>
      <c r="L54" s="220"/>
      <c r="M54" s="241">
        <f>IF(AND(CaseType&lt;&gt;"",LabelB14="Y"),"Case Type:","")</f>
      </c>
      <c r="N54" s="235">
        <f>IF(AND(CaseType&lt;&gt;"",LabelB14="Y"),CaseType,"")</f>
      </c>
      <c r="O54" s="241">
        <f>IF(AND(PowderWeight&lt;&gt;"",LabelB14="Y"),"Powder Weight:","")</f>
      </c>
      <c r="P54" s="235">
        <f>IF(AND(PowderWeight&lt;&gt;"",LabelB14="Y"),PowderWeight,"")</f>
      </c>
      <c r="Q54" s="220"/>
      <c r="R54" s="241">
        <f>IF(AND(CaseType&lt;&gt;"",LabelB15="Y"),"Case Type:","")</f>
      </c>
      <c r="S54" s="235">
        <f>IF(AND(CaseType&lt;&gt;"",LabelB15="Y"),CaseType,"")</f>
      </c>
      <c r="T54" s="241">
        <f>IF(AND(PowderWeight&lt;&gt;"",LabelB15="Y"),"Powder Weight:","")</f>
      </c>
      <c r="U54" s="235">
        <f>IF(AND(PowderWeight&lt;&gt;"",LabelB15="Y"),PowderWeight,"")</f>
      </c>
    </row>
    <row r="55" spans="1:21" ht="12" customHeight="1">
      <c r="A55" s="187"/>
      <c r="B55" s="187"/>
      <c r="C55" s="187"/>
      <c r="D55" s="187"/>
      <c r="E55" s="187"/>
      <c r="F55" s="187"/>
      <c r="G55" s="187"/>
      <c r="H55" s="241">
        <f>IF(AND(BulletBrand&lt;&gt;"",LabelB13="Y"),"Bullet Brand:","")</f>
      </c>
      <c r="I55" s="235">
        <f>IF(AND(BulletBrand&lt;&gt;"",LabelB13="Y"),BulletBrand,"")</f>
      </c>
      <c r="J55" s="241">
        <f>IF(AND(PrimerBrand&lt;&gt;"",LabelB13="Y"),"Primer Brand:","")</f>
      </c>
      <c r="K55" s="235">
        <f>IF(AND(PrimerBrand&lt;&gt;"",LabelB13="Y"),PrimerBrand,"")</f>
      </c>
      <c r="L55" s="220"/>
      <c r="M55" s="241">
        <f>IF(AND(BulletBrand&lt;&gt;"",LabelB14="Y"),"Bullet Brand:","")</f>
      </c>
      <c r="N55" s="235">
        <f>IF(AND(BulletBrand&lt;&gt;"",LabelB14="Y"),BulletBrand,"")</f>
      </c>
      <c r="O55" s="241">
        <f>IF(AND(PrimerBrand&lt;&gt;"",LabelB14="Y"),"Primer Brand:","")</f>
      </c>
      <c r="P55" s="235">
        <f>IF(AND(PrimerBrand&lt;&gt;"",LabelB14="Y"),PrimerBrand,"")</f>
      </c>
      <c r="Q55" s="220"/>
      <c r="R55" s="241">
        <f>IF(AND(BulletBrand&lt;&gt;"",LabelB15="Y"),"Bullet Brand:","")</f>
      </c>
      <c r="S55" s="235">
        <f>IF(AND(BulletBrand&lt;&gt;"",LabelB15="Y"),BulletBrand,"")</f>
      </c>
      <c r="T55" s="241">
        <f>IF(AND(PrimerBrand&lt;&gt;"",LabelB15="Y"),"Primer Brand:","")</f>
      </c>
      <c r="U55" s="235">
        <f>IF(AND(PrimerBrand&lt;&gt;"",LabelB15="Y"),PrimerBrand,"")</f>
      </c>
    </row>
    <row r="56" spans="1:21" ht="12" customHeight="1">
      <c r="A56" s="187"/>
      <c r="B56" s="187"/>
      <c r="C56" s="187"/>
      <c r="D56" s="187"/>
      <c r="E56" s="187"/>
      <c r="F56" s="187"/>
      <c r="G56" s="187"/>
      <c r="H56" s="241">
        <f>IF(AND(BulletType&lt;&gt;"",LabelB13="Y"),"Bullet Type:","")</f>
      </c>
      <c r="I56" s="235">
        <f>IF(AND(BulletType&lt;&gt;"",LabelB13="Y"),BulletType,"")</f>
      </c>
      <c r="J56" s="241">
        <f>IF(AND(PrimerType&lt;&gt;"",LabelB13="Y"),"Primer Type/Lot:","")</f>
      </c>
      <c r="K56" s="235">
        <f>IF(AND(PrimerType&lt;&gt;"",LabelB13="Y"),PrimerType,"")</f>
      </c>
      <c r="L56" s="220"/>
      <c r="M56" s="241">
        <f>IF(AND(BulletType&lt;&gt;"",LabelB14="Y"),"Bullet Type:","")</f>
      </c>
      <c r="N56" s="235">
        <f>IF(AND(BulletType&lt;&gt;"",LabelB14="Y"),BulletType,"")</f>
      </c>
      <c r="O56" s="241">
        <f>IF(AND(PrimerType&lt;&gt;"",LabelB14="Y"),"Primer Type/Lot:","")</f>
      </c>
      <c r="P56" s="235">
        <f>IF(AND(PrimerType&lt;&gt;"",LabelB14="Y"),PrimerType,"")</f>
      </c>
      <c r="Q56" s="220"/>
      <c r="R56" s="241">
        <f>IF(AND(BulletType&lt;&gt;"",LabelB15="Y"),"Bullet Type:","")</f>
      </c>
      <c r="S56" s="235">
        <f>IF(AND(BulletType&lt;&gt;"",LabelB15="Y"),BulletType,"")</f>
      </c>
      <c r="T56" s="241">
        <f>IF(AND(PrimerType&lt;&gt;"",LabelB15="Y"),"Primer Type/Lot:","")</f>
      </c>
      <c r="U56" s="235">
        <f>IF(AND(PrimerType&lt;&gt;"",LabelB15="Y"),PrimerType,"")</f>
      </c>
    </row>
    <row r="57" spans="1:21" ht="12" customHeight="1">
      <c r="A57" s="187"/>
      <c r="B57" s="187"/>
      <c r="C57" s="187"/>
      <c r="D57" s="187"/>
      <c r="E57" s="187"/>
      <c r="F57" s="187"/>
      <c r="G57" s="187"/>
      <c r="H57" s="241">
        <f>IF(AND(BulletWeight&lt;&gt;"",LabelB13="Y"),"Bullet Wt:","")</f>
      </c>
      <c r="I57" s="235">
        <f>IF(AND(BulletWeight&lt;&gt;"",LabelB13="Y"),BulletWeight,"")</f>
      </c>
      <c r="J57" s="241">
        <f>IF(AND(OAL&lt;&gt;"",LabelB13="Y"),"OAL:","")</f>
      </c>
      <c r="K57" s="235">
        <f>IF(AND(OAL&lt;&gt;"",LabelB13="Y"),OAL,"")</f>
      </c>
      <c r="L57" s="220"/>
      <c r="M57" s="241">
        <f>IF(AND(BulletWeight&lt;&gt;"",LabelB14="Y"),"Bullet Wt:","")</f>
      </c>
      <c r="N57" s="235">
        <f>IF(AND(BulletWeight&lt;&gt;"",LabelB14="Y"),BulletWeight,"")</f>
      </c>
      <c r="O57" s="241">
        <f>IF(AND(OAL&lt;&gt;"",LabelB14="Y"),"OAL:","")</f>
      </c>
      <c r="P57" s="235">
        <f>IF(AND(OAL&lt;&gt;"",LabelB14="Y"),OAL,"")</f>
      </c>
      <c r="Q57" s="220"/>
      <c r="R57" s="241">
        <f>IF(AND(BulletWeight&lt;&gt;"",LabelB15="Y"),"Bullet Wt:","")</f>
      </c>
      <c r="S57" s="235">
        <f>IF(AND(BulletWeight&lt;&gt;"",LabelB15="Y"),BulletWeight,"")</f>
      </c>
      <c r="T57" s="241">
        <f>IF(AND(OAL&lt;&gt;"",LabelB15="Y"),"OAL:","")</f>
      </c>
      <c r="U57" s="235">
        <f>IF(AND(OAL&lt;&gt;"",LabelB15="Y"),OAL,"")</f>
      </c>
    </row>
    <row r="58" spans="1:21" ht="12" customHeight="1">
      <c r="A58" s="187"/>
      <c r="B58" s="187"/>
      <c r="C58" s="187"/>
      <c r="D58" s="187"/>
      <c r="E58" s="187"/>
      <c r="F58" s="187"/>
      <c r="G58" s="187"/>
      <c r="H58" s="241">
        <f>IF(AND(LoadDate&lt;&gt;"",LabelB13="Y"),"Date:","")</f>
      </c>
      <c r="I58" s="221">
        <f>IF(AND(LoadDate&lt;&gt;"",LabelB13="Y"),LoadDate,"")</f>
      </c>
      <c r="J58" s="241">
        <f>IF(AND(EstVelocity&lt;&gt;"",LabelB13="Y"),"Est. Velocity:","")</f>
      </c>
      <c r="K58" s="235">
        <f>IF(AND(EstVelocity&lt;&gt;"",LabelB13="Y"),EstVelocity,"")</f>
      </c>
      <c r="L58" s="220"/>
      <c r="M58" s="241">
        <f>IF(AND(LoadDate&lt;&gt;"",LabelB14="Y"),"Date:","")</f>
      </c>
      <c r="N58" s="221">
        <f>IF(AND(LoadDate&lt;&gt;"",LabelB14="Y"),LoadDate,"")</f>
      </c>
      <c r="O58" s="241">
        <f>IF(AND(EstVelocity&lt;&gt;"",LabelB14="Y"),"Est. Velocity:","")</f>
      </c>
      <c r="P58" s="235">
        <f>IF(AND(EstVelocity&lt;&gt;"",LabelB14="Y"),EstVelocity,"")</f>
      </c>
      <c r="Q58" s="220"/>
      <c r="R58" s="241">
        <f>IF(AND(LoadDate&lt;&gt;"",LabelB15="Y"),"Date:","")</f>
      </c>
      <c r="S58" s="221">
        <f>IF(AND(LoadDate&lt;&gt;"",LabelB15="Y"),LoadDate,"")</f>
      </c>
      <c r="T58" s="241">
        <f>IF(AND(EstVelocity&lt;&gt;"",LabelB15="Y"),"Est. Velocity:","")</f>
      </c>
      <c r="U58" s="235">
        <f>IF(AND(EstVelocity&lt;&gt;"",LabelB15="Y"),EstVelocity,"")</f>
      </c>
    </row>
    <row r="59" spans="1:21" ht="12" customHeight="1">
      <c r="A59" s="187"/>
      <c r="B59" s="187"/>
      <c r="C59" s="187"/>
      <c r="D59" s="187"/>
      <c r="E59" s="187"/>
      <c r="F59" s="187"/>
      <c r="G59" s="187"/>
      <c r="H59" s="187"/>
      <c r="I59" s="187"/>
      <c r="J59" s="187"/>
      <c r="K59" s="187"/>
      <c r="L59" s="187"/>
      <c r="M59" s="187"/>
      <c r="N59" s="187"/>
      <c r="O59" s="187"/>
      <c r="P59" s="187"/>
      <c r="Q59" s="187"/>
      <c r="R59" s="187"/>
      <c r="S59" s="187"/>
      <c r="T59" s="187"/>
      <c r="U59" s="187"/>
    </row>
    <row r="60" spans="1:21" ht="12" customHeight="1">
      <c r="A60" s="187"/>
      <c r="B60" s="187"/>
      <c r="C60" s="187"/>
      <c r="D60" s="187"/>
      <c r="E60" s="187"/>
      <c r="F60" s="187"/>
      <c r="G60" s="194"/>
      <c r="H60" s="240">
        <f>IF(AND(Caliber&lt;&gt;"",LabelB16="Y"),"Caliber:","")</f>
      </c>
      <c r="I60" s="235">
        <f>IF(AND(Caliber&lt;&gt;"",LabelB16="Y"),Caliber,"")</f>
      </c>
      <c r="J60" s="241">
        <f>IF(AND(PowderType&lt;&gt;"",LabelB16="Y"),"Powder Type:","")</f>
      </c>
      <c r="K60" s="235">
        <f>IF(AND(PowderType&lt;&gt;"",LabelB16="Y"),PowderType,"")</f>
      </c>
      <c r="L60" s="219"/>
      <c r="M60" s="240">
        <f>IF(AND(Caliber&lt;&gt;"",LabelB17="Y"),"Caliber:","")</f>
      </c>
      <c r="N60" s="235">
        <f>IF(AND(Caliber&lt;&gt;"",LabelB17="Y"),Caliber,"")</f>
      </c>
      <c r="O60" s="241">
        <f>IF(AND(PowderType&lt;&gt;"",LabelB17="Y"),"Powder Type:","")</f>
      </c>
      <c r="P60" s="235">
        <f>IF(AND(PowderType&lt;&gt;"",LabelB17="Y"),PowderType,"")</f>
      </c>
      <c r="Q60" s="197"/>
      <c r="R60" s="240">
        <f>IF(AND(Caliber&lt;&gt;"",LabelB18="Y"),"Caliber:","")</f>
      </c>
      <c r="S60" s="235">
        <f>IF(AND(Caliber&lt;&gt;"",LabelB18="Y"),Caliber,"")</f>
      </c>
      <c r="T60" s="241">
        <f>IF(AND(PowderType&lt;&gt;"",LabelB18="Y"),"Powder Type:","")</f>
      </c>
      <c r="U60" s="235">
        <f>IF(AND(PowderType&lt;&gt;"",LabelB18="Y"),PowderType,"")</f>
      </c>
    </row>
    <row r="61" spans="1:21" ht="12" customHeight="1">
      <c r="A61" s="187"/>
      <c r="B61" s="187"/>
      <c r="C61" s="187"/>
      <c r="D61" s="187"/>
      <c r="E61" s="187"/>
      <c r="F61" s="187"/>
      <c r="G61" s="187"/>
      <c r="H61" s="241">
        <f>IF(AND(CaseType&lt;&gt;"",LabelB16="Y"),"Case Type:","")</f>
      </c>
      <c r="I61" s="235">
        <f>IF(AND(CaseType&lt;&gt;"",LabelB16="Y"),CaseType,"")</f>
      </c>
      <c r="J61" s="241">
        <f>IF(AND(PowderWeight&lt;&gt;"",LabelB16="Y"),"Powder Weight:","")</f>
      </c>
      <c r="K61" s="235">
        <f>IF(AND(PowderWeight&lt;&gt;"",LabelB16="Y"),PowderWeight,"")</f>
      </c>
      <c r="L61" s="219"/>
      <c r="M61" s="241">
        <f>IF(AND(CaseType&lt;&gt;"",LabelB17="Y"),"Case Type:","")</f>
      </c>
      <c r="N61" s="235">
        <f>IF(AND(CaseType&lt;&gt;"",LabelB17="Y"),CaseType,"")</f>
      </c>
      <c r="O61" s="241">
        <f>IF(AND(PowderWeight&lt;&gt;"",LabelB17="Y"),"Powder Weight:","")</f>
      </c>
      <c r="P61" s="235">
        <f>IF(AND(PowderWeight&lt;&gt;"",LabelB17="Y"),PowderWeight,"")</f>
      </c>
      <c r="Q61" s="220"/>
      <c r="R61" s="241">
        <f>IF(AND(CaseType&lt;&gt;"",LabelB18="Y"),"Case Type:","")</f>
      </c>
      <c r="S61" s="235">
        <f>IF(AND(CaseType&lt;&gt;"",LabelB18="Y"),CaseType,"")</f>
      </c>
      <c r="T61" s="241">
        <f>IF(AND(PowderWeight&lt;&gt;"",LabelB18="Y"),"Powder Weight:","")</f>
      </c>
      <c r="U61" s="235">
        <f>IF(AND(PowderWeight&lt;&gt;"",LabelB18="Y"),PowderWeight,"")</f>
      </c>
    </row>
    <row r="62" spans="1:21" ht="12" customHeight="1">
      <c r="A62" s="187"/>
      <c r="B62" s="187"/>
      <c r="C62" s="187"/>
      <c r="D62" s="187"/>
      <c r="E62" s="187"/>
      <c r="F62" s="187"/>
      <c r="G62" s="187"/>
      <c r="H62" s="241">
        <f>IF(AND(BulletBrand&lt;&gt;"",LabelB16="Y"),"Bullet Brand:","")</f>
      </c>
      <c r="I62" s="235">
        <f>IF(AND(BulletBrand&lt;&gt;"",LabelB16="Y"),BulletBrand,"")</f>
      </c>
      <c r="J62" s="241">
        <f>IF(AND(PrimerBrand&lt;&gt;"",LabelB16="Y"),"Primer Brand:","")</f>
      </c>
      <c r="K62" s="235">
        <f>IF(AND(PrimerBrand&lt;&gt;"",LabelB16="Y"),PrimerBrand,"")</f>
      </c>
      <c r="L62" s="219"/>
      <c r="M62" s="241">
        <f>IF(AND(BulletBrand&lt;&gt;"",LabelB17="Y"),"Bullet Brand:","")</f>
      </c>
      <c r="N62" s="235">
        <f>IF(AND(BulletBrand&lt;&gt;"",LabelB17="Y"),BulletBrand,"")</f>
      </c>
      <c r="O62" s="241">
        <f>IF(AND(PrimerBrand&lt;&gt;"",LabelB17="Y"),"Primer Brand:","")</f>
      </c>
      <c r="P62" s="235">
        <f>IF(AND(PrimerBrand&lt;&gt;"",LabelB17="Y"),PrimerBrand,"")</f>
      </c>
      <c r="Q62" s="220"/>
      <c r="R62" s="241">
        <f>IF(AND(BulletBrand&lt;&gt;"",LabelB18="Y"),"Bullet Brand:","")</f>
      </c>
      <c r="S62" s="235">
        <f>IF(AND(BulletBrand&lt;&gt;"",LabelB18="Y"),BulletBrand,"")</f>
      </c>
      <c r="T62" s="241">
        <f>IF(AND(PrimerBrand&lt;&gt;"",LabelB18="Y"),"Primer Brand:","")</f>
      </c>
      <c r="U62" s="235">
        <f>IF(AND(PrimerBrand&lt;&gt;"",LabelB18="Y"),PrimerBrand,"")</f>
      </c>
    </row>
    <row r="63" spans="1:21" ht="12" customHeight="1">
      <c r="A63" s="187"/>
      <c r="B63" s="187"/>
      <c r="C63" s="187"/>
      <c r="D63" s="187"/>
      <c r="E63" s="187"/>
      <c r="F63" s="187"/>
      <c r="G63" s="187"/>
      <c r="H63" s="241">
        <f>IF(AND(BulletType&lt;&gt;"",LabelB16="Y"),"Bullet Type:","")</f>
      </c>
      <c r="I63" s="235">
        <f>IF(AND(BulletType&lt;&gt;"",LabelB16="Y"),BulletType,"")</f>
      </c>
      <c r="J63" s="241">
        <f>IF(AND(PrimerType&lt;&gt;"",LabelB16="Y"),"Primer Type/Lot:","")</f>
      </c>
      <c r="K63" s="235">
        <f>IF(AND(PrimerType&lt;&gt;"",LabelB16="Y"),PrimerType,"")</f>
      </c>
      <c r="L63" s="219"/>
      <c r="M63" s="241">
        <f>IF(AND(BulletType&lt;&gt;"",LabelB17="Y"),"Bullet Type:","")</f>
      </c>
      <c r="N63" s="235">
        <f>IF(AND(BulletType&lt;&gt;"",LabelB17="Y"),BulletType,"")</f>
      </c>
      <c r="O63" s="241">
        <f>IF(AND(PrimerType&lt;&gt;"",LabelB17="Y"),"Primer Type/Lot:","")</f>
      </c>
      <c r="P63" s="235">
        <f>IF(AND(PrimerType&lt;&gt;"",LabelB17="Y"),PrimerType,"")</f>
      </c>
      <c r="Q63" s="220"/>
      <c r="R63" s="241">
        <f>IF(AND(BulletType&lt;&gt;"",LabelB18="Y"),"Bullet Type:","")</f>
      </c>
      <c r="S63" s="235">
        <f>IF(AND(BulletType&lt;&gt;"",LabelB18="Y"),BulletType,"")</f>
      </c>
      <c r="T63" s="241">
        <f>IF(AND(PrimerType&lt;&gt;"",LabelB18="Y"),"Primer Type/Lot:","")</f>
      </c>
      <c r="U63" s="235">
        <f>IF(AND(PrimerType&lt;&gt;"",LabelB18="Y"),PrimerType,"")</f>
      </c>
    </row>
    <row r="64" spans="1:21" ht="12" customHeight="1">
      <c r="A64" s="187"/>
      <c r="B64" s="187"/>
      <c r="C64" s="187"/>
      <c r="D64" s="187"/>
      <c r="E64" s="187"/>
      <c r="F64" s="187"/>
      <c r="G64" s="187"/>
      <c r="H64" s="241">
        <f>IF(AND(BulletWeight&lt;&gt;"",LabelB16="Y"),"Bullet Wt:","")</f>
      </c>
      <c r="I64" s="235">
        <f>IF(AND(BulletWeight&lt;&gt;"",LabelB16="Y"),BulletWeight,"")</f>
      </c>
      <c r="J64" s="241">
        <f>IF(AND(OAL&lt;&gt;"",LabelB16="Y"),"OAL:","")</f>
      </c>
      <c r="K64" s="235">
        <f>IF(AND(OAL&lt;&gt;"",LabelB16="Y"),OAL,"")</f>
      </c>
      <c r="L64" s="219"/>
      <c r="M64" s="241">
        <f>IF(AND(BulletWeight&lt;&gt;"",LabelB17="Y"),"Bullet Wt:","")</f>
      </c>
      <c r="N64" s="235">
        <f>IF(AND(BulletWeight&lt;&gt;"",LabelB17="Y"),BulletWeight,"")</f>
      </c>
      <c r="O64" s="241">
        <f>IF(AND(OAL&lt;&gt;"",LabelB17="Y"),"OAL:","")</f>
      </c>
      <c r="P64" s="235">
        <f>IF(AND(OAL&lt;&gt;"",LabelB17="Y"),OAL,"")</f>
      </c>
      <c r="Q64" s="220"/>
      <c r="R64" s="241">
        <f>IF(AND(BulletWeight&lt;&gt;"",LabelB18="Y"),"Bullet Wt:","")</f>
      </c>
      <c r="S64" s="235">
        <f>IF(AND(BulletWeight&lt;&gt;"",LabelB18="Y"),BulletWeight,"")</f>
      </c>
      <c r="T64" s="241">
        <f>IF(AND(OAL&lt;&gt;"",LabelB18="Y"),"OAL:","")</f>
      </c>
      <c r="U64" s="235">
        <f>IF(AND(OAL&lt;&gt;"",LabelB18="Y"),OAL,"")</f>
      </c>
    </row>
    <row r="65" spans="1:21" ht="12" customHeight="1">
      <c r="A65" s="187"/>
      <c r="B65" s="187"/>
      <c r="C65" s="187"/>
      <c r="D65" s="187"/>
      <c r="E65" s="187"/>
      <c r="F65" s="187"/>
      <c r="G65" s="187"/>
      <c r="H65" s="241">
        <f>IF(AND(LoadDate&lt;&gt;"",LabelB16="Y"),"Date:","")</f>
      </c>
      <c r="I65" s="221">
        <f>IF(AND(LoadDate&lt;&gt;"",LabelB16="Y"),LoadDate,"")</f>
      </c>
      <c r="J65" s="241">
        <f>IF(AND(EstVelocity&lt;&gt;"",LabelB16="Y"),"Est. Velocity:","")</f>
      </c>
      <c r="K65" s="235">
        <f>IF(AND(EstVelocity&lt;&gt;"",LabelB16="Y"),EstVelocity,"")</f>
      </c>
      <c r="L65" s="219"/>
      <c r="M65" s="241">
        <f>IF(AND(LoadDate&lt;&gt;"",LabelB17="Y"),"Date:","")</f>
      </c>
      <c r="N65" s="221">
        <f>IF(AND(LoadDate&lt;&gt;"",LabelB17="Y"),LoadDate,"")</f>
      </c>
      <c r="O65" s="241">
        <f>IF(AND(EstVelocity&lt;&gt;"",LabelB17="Y"),"Est. Velocity:","")</f>
      </c>
      <c r="P65" s="235">
        <f>IF(AND(EstVelocity&lt;&gt;"",LabelB17="Y"),EstVelocity,"")</f>
      </c>
      <c r="Q65" s="220"/>
      <c r="R65" s="241">
        <f>IF(AND(LoadDate&lt;&gt;"",LabelB18="Y"),"Date:","")</f>
      </c>
      <c r="S65" s="221">
        <f>IF(AND(LoadDate&lt;&gt;"",LabelB18="Y"),LoadDate,"")</f>
      </c>
      <c r="T65" s="241">
        <f>IF(AND(EstVelocity&lt;&gt;"",LabelB18="Y"),"Est. Velocity:","")</f>
      </c>
      <c r="U65" s="235">
        <f>IF(AND(EstVelocity&lt;&gt;"",LabelB18="Y"),EstVelocity,"")</f>
      </c>
    </row>
    <row r="66" spans="1:21" ht="12" customHeight="1">
      <c r="A66" s="187"/>
      <c r="B66" s="187"/>
      <c r="C66" s="187"/>
      <c r="D66" s="187"/>
      <c r="E66" s="187"/>
      <c r="F66" s="187"/>
      <c r="G66" s="187"/>
      <c r="H66" s="187"/>
      <c r="I66" s="187"/>
      <c r="J66" s="187"/>
      <c r="K66" s="187"/>
      <c r="L66" s="187"/>
      <c r="M66" s="187"/>
      <c r="N66" s="187"/>
      <c r="O66" s="187"/>
      <c r="P66" s="187"/>
      <c r="Q66" s="187"/>
      <c r="R66" s="187"/>
      <c r="S66" s="187"/>
      <c r="T66" s="187"/>
      <c r="U66" s="187"/>
    </row>
    <row r="67" spans="1:21" ht="12" customHeight="1">
      <c r="A67" s="187"/>
      <c r="B67" s="187"/>
      <c r="C67" s="187"/>
      <c r="D67" s="187"/>
      <c r="E67" s="187"/>
      <c r="F67" s="187"/>
      <c r="G67" s="194"/>
      <c r="H67" s="240">
        <f>IF(AND(Caliber&lt;&gt;"",LabelB19="Y"),"Caliber:","")</f>
      </c>
      <c r="I67" s="235">
        <f>IF(AND(Caliber&lt;&gt;"",LabelB19="Y"),Caliber,"")</f>
      </c>
      <c r="J67" s="241">
        <f>IF(AND(PowderType&lt;&gt;"",LabelB19="Y"),"Powder Type:","")</f>
      </c>
      <c r="K67" s="235">
        <f>IF(AND(PowderType&lt;&gt;"",LabelB19="Y"),PowderType,"")</f>
      </c>
      <c r="L67" s="219"/>
      <c r="M67" s="240">
        <f>IF(AND(Caliber&lt;&gt;"",LabelB20="Y"),"Caliber:","")</f>
      </c>
      <c r="N67" s="235">
        <f>IF(AND(Caliber&lt;&gt;"",LabelB20="Y"),Caliber,"")</f>
      </c>
      <c r="O67" s="241">
        <f>IF(AND(PowderType&lt;&gt;"",LabelB20="Y"),"Powder Type:","")</f>
      </c>
      <c r="P67" s="235">
        <f>IF(AND(PowderType&lt;&gt;"",LabelB20="Y"),PowderType,"")</f>
      </c>
      <c r="Q67" s="197"/>
      <c r="R67" s="240">
        <f>IF(AND(Caliber&lt;&gt;"",LabelB21="Y"),"Caliber:","")</f>
      </c>
      <c r="S67" s="235">
        <f>IF(AND(Caliber&lt;&gt;"",LabelB21="Y"),Caliber,"")</f>
      </c>
      <c r="T67" s="241">
        <f>IF(AND(PowderType&lt;&gt;"",LabelB21="Y"),"Powder Type:","")</f>
      </c>
      <c r="U67" s="235">
        <f>IF(AND(PowderType&lt;&gt;"",LabelB21="Y"),PowderType,"")</f>
      </c>
    </row>
    <row r="68" spans="1:21" ht="12" customHeight="1">
      <c r="A68" s="187"/>
      <c r="B68" s="187"/>
      <c r="C68" s="187"/>
      <c r="D68" s="187"/>
      <c r="E68" s="187"/>
      <c r="F68" s="187"/>
      <c r="G68" s="187"/>
      <c r="H68" s="241">
        <f>IF(AND(CaseType&lt;&gt;"",LabelB19="Y"),"Case Type:","")</f>
      </c>
      <c r="I68" s="235">
        <f>IF(AND(CaseType&lt;&gt;"",LabelB19="Y"),CaseType,"")</f>
      </c>
      <c r="J68" s="241">
        <f>IF(AND(PowderWeight&lt;&gt;"",LabelB19="Y"),"Powder Weight:","")</f>
      </c>
      <c r="K68" s="235">
        <f>IF(AND(PowderWeight&lt;&gt;"",LabelB19="Y"),PowderWeight,"")</f>
      </c>
      <c r="L68" s="219"/>
      <c r="M68" s="241">
        <f>IF(AND(CaseType&lt;&gt;"",LabelB20="Y"),"Case Type:","")</f>
      </c>
      <c r="N68" s="235">
        <f>IF(AND(CaseType&lt;&gt;"",LabelB20="Y"),CaseType,"")</f>
      </c>
      <c r="O68" s="241">
        <f>IF(AND(PowderWeight&lt;&gt;"",LabelB20="Y"),"Powder Weight:","")</f>
      </c>
      <c r="P68" s="235">
        <f>IF(AND(PowderWeight&lt;&gt;"",LabelB20="Y"),PowderWeight,"")</f>
      </c>
      <c r="Q68" s="220"/>
      <c r="R68" s="241">
        <f>IF(AND(CaseType&lt;&gt;"",LabelB21="Y"),"Case Type:","")</f>
      </c>
      <c r="S68" s="235">
        <f>IF(AND(CaseType&lt;&gt;"",LabelB21="Y"),CaseType,"")</f>
      </c>
      <c r="T68" s="241">
        <f>IF(AND(PowderWeight&lt;&gt;"",LabelB21="Y"),"Powder Weight:","")</f>
      </c>
      <c r="U68" s="235">
        <f>IF(AND(PowderWeight&lt;&gt;"",LabelB21="Y"),PowderWeight,"")</f>
      </c>
    </row>
    <row r="69" spans="1:21" ht="12" customHeight="1">
      <c r="A69" s="187"/>
      <c r="B69" s="187"/>
      <c r="C69" s="187"/>
      <c r="D69" s="187"/>
      <c r="E69" s="187"/>
      <c r="F69" s="187"/>
      <c r="G69" s="187"/>
      <c r="H69" s="241">
        <f>IF(AND(BulletBrand&lt;&gt;"",LabelB19="Y"),"Bullet Brand:","")</f>
      </c>
      <c r="I69" s="235">
        <f>IF(AND(BulletBrand&lt;&gt;"",LabelB19="Y"),BulletBrand,"")</f>
      </c>
      <c r="J69" s="241">
        <f>IF(AND(PrimerBrand&lt;&gt;"",LabelB19="Y"),"Primer Brand:","")</f>
      </c>
      <c r="K69" s="235">
        <f>IF(AND(PrimerBrand&lt;&gt;"",LabelB19="Y"),PrimerBrand,"")</f>
      </c>
      <c r="L69" s="219"/>
      <c r="M69" s="241">
        <f>IF(AND(BulletBrand&lt;&gt;"",LabelB20="Y"),"Bullet Brand:","")</f>
      </c>
      <c r="N69" s="235">
        <f>IF(AND(BulletBrand&lt;&gt;"",LabelB20="Y"),BulletBrand,"")</f>
      </c>
      <c r="O69" s="241">
        <f>IF(AND(PrimerBrand&lt;&gt;"",LabelB20="Y"),"Primer Brand:","")</f>
      </c>
      <c r="P69" s="235">
        <f>IF(AND(PrimerBrand&lt;&gt;"",LabelB20="Y"),PrimerBrand,"")</f>
      </c>
      <c r="Q69" s="220"/>
      <c r="R69" s="241">
        <f>IF(AND(BulletBrand&lt;&gt;"",LabelB21="Y"),"Bullet Brand:","")</f>
      </c>
      <c r="S69" s="235">
        <f>IF(AND(BulletBrand&lt;&gt;"",LabelB21="Y"),BulletBrand,"")</f>
      </c>
      <c r="T69" s="241">
        <f>IF(AND(PrimerBrand&lt;&gt;"",LabelB21="Y"),"Primer Brand:","")</f>
      </c>
      <c r="U69" s="235">
        <f>IF(AND(PrimerBrand&lt;&gt;"",LabelB21="Y"),PrimerBrand,"")</f>
      </c>
    </row>
    <row r="70" spans="1:21" ht="12" customHeight="1">
      <c r="A70" s="187"/>
      <c r="B70" s="187"/>
      <c r="C70" s="187"/>
      <c r="D70" s="187"/>
      <c r="E70" s="187"/>
      <c r="F70" s="187"/>
      <c r="G70" s="187"/>
      <c r="H70" s="241">
        <f>IF(AND(BulletType&lt;&gt;"",LabelB19="Y"),"Bullet Type:","")</f>
      </c>
      <c r="I70" s="235">
        <f>IF(AND(BulletType&lt;&gt;"",LabelB19="Y"),BulletType,"")</f>
      </c>
      <c r="J70" s="241">
        <f>IF(AND(PrimerType&lt;&gt;"",LabelB19="Y"),"Primer Type/Lot:","")</f>
      </c>
      <c r="K70" s="235">
        <f>IF(AND(PrimerType&lt;&gt;"",LabelB19="Y"),PrimerType,"")</f>
      </c>
      <c r="L70" s="219"/>
      <c r="M70" s="241">
        <f>IF(AND(BulletType&lt;&gt;"",LabelB20="Y"),"Bullet Type:","")</f>
      </c>
      <c r="N70" s="235">
        <f>IF(AND(BulletType&lt;&gt;"",LabelB20="Y"),BulletType,"")</f>
      </c>
      <c r="O70" s="241">
        <f>IF(AND(PrimerType&lt;&gt;"",LabelB20="Y"),"Primer Type/Lot:","")</f>
      </c>
      <c r="P70" s="235">
        <f>IF(AND(PrimerType&lt;&gt;"",LabelB20="Y"),PrimerType,"")</f>
      </c>
      <c r="Q70" s="220"/>
      <c r="R70" s="241">
        <f>IF(AND(BulletType&lt;&gt;"",LabelB21="Y"),"Bullet Type:","")</f>
      </c>
      <c r="S70" s="235">
        <f>IF(AND(BulletType&lt;&gt;"",LabelB21="Y"),BulletType,"")</f>
      </c>
      <c r="T70" s="241">
        <f>IF(AND(PrimerType&lt;&gt;"",LabelB21="Y"),"Primer Type/Lot:","")</f>
      </c>
      <c r="U70" s="235">
        <f>IF(AND(PrimerType&lt;&gt;"",LabelB21="Y"),PrimerType,"")</f>
      </c>
    </row>
    <row r="71" spans="1:21" ht="12" customHeight="1">
      <c r="A71" s="187"/>
      <c r="B71" s="187"/>
      <c r="C71" s="187"/>
      <c r="D71" s="187"/>
      <c r="E71" s="187"/>
      <c r="F71" s="187"/>
      <c r="G71" s="187"/>
      <c r="H71" s="241">
        <f>IF(AND(BulletWeight&lt;&gt;"",LabelB19="Y"),"Bullet Wt:","")</f>
      </c>
      <c r="I71" s="235">
        <f>IF(AND(BulletWeight&lt;&gt;"",LabelB19="Y"),BulletWeight,"")</f>
      </c>
      <c r="J71" s="241">
        <f>IF(AND(OAL&lt;&gt;"",LabelB19="Y"),"OAL:","")</f>
      </c>
      <c r="K71" s="235">
        <f>IF(AND(OAL&lt;&gt;"",LabelB19="Y"),OAL,"")</f>
      </c>
      <c r="L71" s="219"/>
      <c r="M71" s="241">
        <f>IF(AND(BulletWeight&lt;&gt;"",LabelB20="Y"),"Bullet Wt:","")</f>
      </c>
      <c r="N71" s="235">
        <f>IF(AND(BulletWeight&lt;&gt;"",LabelB20="Y"),BulletWeight,"")</f>
      </c>
      <c r="O71" s="241">
        <f>IF(AND(OAL&lt;&gt;"",LabelB20="Y"),"OAL:","")</f>
      </c>
      <c r="P71" s="235">
        <f>IF(AND(OAL&lt;&gt;"",LabelB20="Y"),OAL,"")</f>
      </c>
      <c r="Q71" s="220"/>
      <c r="R71" s="241">
        <f>IF(AND(BulletWeight&lt;&gt;"",LabelB21="Y"),"Bullet Wt:","")</f>
      </c>
      <c r="S71" s="235">
        <f>IF(AND(BulletWeight&lt;&gt;"",LabelB21="Y"),BulletWeight,"")</f>
      </c>
      <c r="T71" s="241">
        <f>IF(AND(OAL&lt;&gt;"",LabelB21="Y"),"OAL:","")</f>
      </c>
      <c r="U71" s="235">
        <f>IF(AND(OAL&lt;&gt;"",LabelB21="Y"),OAL,"")</f>
      </c>
    </row>
    <row r="72" spans="1:21" ht="12" customHeight="1">
      <c r="A72" s="187"/>
      <c r="B72" s="187"/>
      <c r="C72" s="187"/>
      <c r="D72" s="187"/>
      <c r="E72" s="187"/>
      <c r="F72" s="187"/>
      <c r="G72" s="187"/>
      <c r="H72" s="241">
        <f>IF(AND(LoadDate&lt;&gt;"",LabelB19="Y"),"Date:","")</f>
      </c>
      <c r="I72" s="221">
        <f>IF(AND(LoadDate&lt;&gt;"",LabelB19="Y"),LoadDate,"")</f>
      </c>
      <c r="J72" s="241">
        <f>IF(AND(EstVelocity&lt;&gt;"",LabelB19="Y"),"Est. Velocity:","")</f>
      </c>
      <c r="K72" s="235">
        <f>IF(AND(EstVelocity&lt;&gt;"",LabelB19="Y"),EstVelocity,"")</f>
      </c>
      <c r="L72" s="219"/>
      <c r="M72" s="241">
        <f>IF(AND(LoadDate&lt;&gt;"",LabelB20="Y"),"Date:","")</f>
      </c>
      <c r="N72" s="221">
        <f>IF(AND(LoadDate&lt;&gt;"",LabelB20="Y"),LoadDate,"")</f>
      </c>
      <c r="O72" s="241">
        <f>IF(AND(EstVelocity&lt;&gt;"",LabelB20="Y"),"Est. Velocity:","")</f>
      </c>
      <c r="P72" s="235">
        <f>IF(AND(EstVelocity&lt;&gt;"",LabelB20="Y"),EstVelocity,"")</f>
      </c>
      <c r="Q72" s="220"/>
      <c r="R72" s="241">
        <f>IF(AND(LoadDate&lt;&gt;"",LabelB21="Y"),"Date:","")</f>
      </c>
      <c r="S72" s="221">
        <f>IF(AND(LoadDate&lt;&gt;"",LabelB21="Y"),LoadDate,"")</f>
      </c>
      <c r="T72" s="241">
        <f>IF(AND(EstVelocity&lt;&gt;"",LabelB21="Y"),"Est. Velocity:","")</f>
      </c>
      <c r="U72" s="235">
        <f>IF(AND(EstVelocity&lt;&gt;"",LabelB21="Y"),EstVelocity,"")</f>
      </c>
    </row>
    <row r="73" spans="1:21" ht="12" customHeight="1">
      <c r="A73" s="187"/>
      <c r="B73" s="187"/>
      <c r="C73" s="187"/>
      <c r="D73" s="187"/>
      <c r="E73" s="187"/>
      <c r="F73" s="187"/>
      <c r="G73" s="187"/>
      <c r="H73" s="187"/>
      <c r="I73" s="187"/>
      <c r="J73" s="187"/>
      <c r="K73" s="187"/>
      <c r="L73" s="187"/>
      <c r="M73" s="187"/>
      <c r="N73" s="187"/>
      <c r="O73" s="187"/>
      <c r="P73" s="187"/>
      <c r="Q73" s="187"/>
      <c r="R73" s="187"/>
      <c r="S73" s="187"/>
      <c r="T73" s="187"/>
      <c r="U73" s="187"/>
    </row>
    <row r="74" spans="1:21" ht="12" customHeight="1">
      <c r="A74" s="187"/>
      <c r="B74" s="187"/>
      <c r="C74" s="187"/>
      <c r="D74" s="187"/>
      <c r="E74" s="187"/>
      <c r="F74" s="187"/>
      <c r="G74" s="194"/>
      <c r="H74" s="240">
        <f>IF(AND(Caliber&lt;&gt;"",LabelB22="Y"),"Caliber:","")</f>
      </c>
      <c r="I74" s="235">
        <f>IF(AND(Caliber&lt;&gt;"",LabelB22="Y"),Caliber,"")</f>
      </c>
      <c r="J74" s="241">
        <f>IF(AND(PowderType&lt;&gt;"",LabelB22="Y"),"Powder Type:","")</f>
      </c>
      <c r="K74" s="235">
        <f>IF(AND(PowderType&lt;&gt;"",LabelB22="Y"),PowderType,"")</f>
      </c>
      <c r="L74" s="219"/>
      <c r="M74" s="240">
        <f>IF(AND(Caliber&lt;&gt;"",LabelB23="Y"),"Caliber:","")</f>
      </c>
      <c r="N74" s="235">
        <f>IF(AND(Caliber&lt;&gt;"",LabelB23="Y"),Caliber,"")</f>
      </c>
      <c r="O74" s="241">
        <f>IF(AND(PowderType&lt;&gt;"",LabelB23="Y"),"Powder Type:","")</f>
      </c>
      <c r="P74" s="235">
        <f>IF(AND(PowderType&lt;&gt;"",LabelB23="Y"),PowderType,"")</f>
      </c>
      <c r="Q74" s="197"/>
      <c r="R74" s="240">
        <f>IF(AND(Caliber&lt;&gt;"",LabelB24="Y"),"Caliber:","")</f>
      </c>
      <c r="S74" s="235">
        <f>IF(AND(Caliber&lt;&gt;"",LabelB24="Y"),Caliber,"")</f>
      </c>
      <c r="T74" s="241">
        <f>IF(AND(PowderType&lt;&gt;"",LabelB24="Y"),"Powder Type:","")</f>
      </c>
      <c r="U74" s="235">
        <f>IF(AND(PowderType&lt;&gt;"",LabelB24="Y"),PowderType,"")</f>
      </c>
    </row>
    <row r="75" spans="1:21" ht="12" customHeight="1">
      <c r="A75" s="187"/>
      <c r="B75" s="187"/>
      <c r="C75" s="187"/>
      <c r="D75" s="187"/>
      <c r="E75" s="187"/>
      <c r="F75" s="187"/>
      <c r="G75" s="187"/>
      <c r="H75" s="241">
        <f>IF(AND(CaseType&lt;&gt;"",LabelB22="Y"),"Case Type:","")</f>
      </c>
      <c r="I75" s="235">
        <f>IF(AND(CaseType&lt;&gt;"",LabelB22="Y"),CaseType,"")</f>
      </c>
      <c r="J75" s="241">
        <f>IF(AND(PowderWeight&lt;&gt;"",LabelB22="Y"),"Powder Weight:","")</f>
      </c>
      <c r="K75" s="235">
        <f>IF(AND(PowderWeight&lt;&gt;"",LabelB22="Y"),PowderWeight,"")</f>
      </c>
      <c r="L75" s="219"/>
      <c r="M75" s="241">
        <f>IF(AND(CaseType&lt;&gt;"",LabelB23="Y"),"Case Type:","")</f>
      </c>
      <c r="N75" s="235">
        <f>IF(AND(CaseType&lt;&gt;"",LabelB23="Y"),CaseType,"")</f>
      </c>
      <c r="O75" s="241">
        <f>IF(AND(PowderWeight&lt;&gt;"",LabelB23="Y"),"Powder Weight:","")</f>
      </c>
      <c r="P75" s="235">
        <f>IF(AND(PowderWeight&lt;&gt;"",LabelB23="Y"),PowderWeight,"")</f>
      </c>
      <c r="Q75" s="220"/>
      <c r="R75" s="241">
        <f>IF(AND(CaseType&lt;&gt;"",LabelB24="Y"),"Case Type:","")</f>
      </c>
      <c r="S75" s="235">
        <f>IF(AND(CaseType&lt;&gt;"",LabelB24="Y"),CaseType,"")</f>
      </c>
      <c r="T75" s="241">
        <f>IF(AND(PowderWeight&lt;&gt;"",LabelB24="Y"),"Powder Weight:","")</f>
      </c>
      <c r="U75" s="235">
        <f>IF(AND(PowderWeight&lt;&gt;"",LabelB24="Y"),PowderWeight,"")</f>
      </c>
    </row>
    <row r="76" spans="1:21" ht="12" customHeight="1">
      <c r="A76" s="187"/>
      <c r="B76" s="187"/>
      <c r="C76" s="187"/>
      <c r="D76" s="187"/>
      <c r="E76" s="187"/>
      <c r="F76" s="187"/>
      <c r="G76" s="187"/>
      <c r="H76" s="241">
        <f>IF(AND(BulletBrand&lt;&gt;"",LabelB22="Y"),"Bullet Brand:","")</f>
      </c>
      <c r="I76" s="235">
        <f>IF(AND(BulletBrand&lt;&gt;"",LabelB22="Y"),BulletBrand,"")</f>
      </c>
      <c r="J76" s="241">
        <f>IF(AND(PrimerBrand&lt;&gt;"",LabelB22="Y"),"Primer Brand:","")</f>
      </c>
      <c r="K76" s="235">
        <f>IF(AND(PrimerBrand&lt;&gt;"",LabelB22="Y"),PrimerBrand,"")</f>
      </c>
      <c r="L76" s="219"/>
      <c r="M76" s="241">
        <f>IF(AND(BulletBrand&lt;&gt;"",LabelB23="Y"),"Bullet Brand:","")</f>
      </c>
      <c r="N76" s="235">
        <f>IF(AND(BulletBrand&lt;&gt;"",LabelB23="Y"),BulletBrand,"")</f>
      </c>
      <c r="O76" s="241">
        <f>IF(AND(PrimerBrand&lt;&gt;"",LabelB23="Y"),"Primer Brand:","")</f>
      </c>
      <c r="P76" s="235">
        <f>IF(AND(PrimerBrand&lt;&gt;"",LabelB23="Y"),PrimerBrand,"")</f>
      </c>
      <c r="Q76" s="220"/>
      <c r="R76" s="241">
        <f>IF(AND(BulletBrand&lt;&gt;"",LabelB24="Y"),"Bullet Brand:","")</f>
      </c>
      <c r="S76" s="235">
        <f>IF(AND(BulletBrand&lt;&gt;"",LabelB24="Y"),BulletBrand,"")</f>
      </c>
      <c r="T76" s="241">
        <f>IF(AND(PrimerBrand&lt;&gt;"",LabelB24="Y"),"Primer Brand:","")</f>
      </c>
      <c r="U76" s="235">
        <f>IF(AND(PrimerBrand&lt;&gt;"",LabelB24="Y"),PrimerBrand,"")</f>
      </c>
    </row>
    <row r="77" spans="1:21" ht="12" customHeight="1">
      <c r="A77" s="187"/>
      <c r="B77" s="187"/>
      <c r="C77" s="187"/>
      <c r="D77" s="187"/>
      <c r="E77" s="187"/>
      <c r="F77" s="187"/>
      <c r="G77" s="187"/>
      <c r="H77" s="241">
        <f>IF(AND(BulletType&lt;&gt;"",LabelB22="Y"),"Bullet Type:","")</f>
      </c>
      <c r="I77" s="235">
        <f>IF(AND(BulletType&lt;&gt;"",LabelB22="Y"),BulletType,"")</f>
      </c>
      <c r="J77" s="241">
        <f>IF(AND(PrimerType&lt;&gt;"",LabelB22="Y"),"Primer Type/Lot:","")</f>
      </c>
      <c r="K77" s="235">
        <f>IF(AND(PrimerType&lt;&gt;"",LabelB22="Y"),PrimerType,"")</f>
      </c>
      <c r="L77" s="219"/>
      <c r="M77" s="241">
        <f>IF(AND(BulletType&lt;&gt;"",LabelB23="Y"),"Bullet Type:","")</f>
      </c>
      <c r="N77" s="235">
        <f>IF(AND(BulletType&lt;&gt;"",LabelB23="Y"),BulletType,"")</f>
      </c>
      <c r="O77" s="241">
        <f>IF(AND(PrimerType&lt;&gt;"",LabelB23="Y"),"Primer Type/Lot:","")</f>
      </c>
      <c r="P77" s="235">
        <f>IF(AND(PrimerType&lt;&gt;"",LabelB23="Y"),PrimerType,"")</f>
      </c>
      <c r="Q77" s="220"/>
      <c r="R77" s="241">
        <f>IF(AND(BulletType&lt;&gt;"",LabelB24="Y"),"Bullet Type:","")</f>
      </c>
      <c r="S77" s="235">
        <f>IF(AND(BulletType&lt;&gt;"",LabelB24="Y"),BulletType,"")</f>
      </c>
      <c r="T77" s="241">
        <f>IF(AND(PrimerType&lt;&gt;"",LabelB24="Y"),"Primer Type/Lot:","")</f>
      </c>
      <c r="U77" s="235">
        <f>IF(AND(PrimerType&lt;&gt;"",LabelB24="Y"),PrimerType,"")</f>
      </c>
    </row>
    <row r="78" spans="1:21" ht="12" customHeight="1">
      <c r="A78" s="187"/>
      <c r="B78" s="187"/>
      <c r="C78" s="187"/>
      <c r="D78" s="187"/>
      <c r="E78" s="187"/>
      <c r="F78" s="187"/>
      <c r="G78" s="187"/>
      <c r="H78" s="241">
        <f>IF(AND(BulletWeight&lt;&gt;"",LabelB22="Y"),"Bullet Wt:","")</f>
      </c>
      <c r="I78" s="235">
        <f>IF(AND(BulletWeight&lt;&gt;"",LabelB22="Y"),BulletWeight,"")</f>
      </c>
      <c r="J78" s="241">
        <f>IF(AND(OAL&lt;&gt;"",LabelB22="Y"),"OAL:","")</f>
      </c>
      <c r="K78" s="235">
        <f>IF(AND(OAL&lt;&gt;"",LabelB22="Y"),OAL,"")</f>
      </c>
      <c r="L78" s="219"/>
      <c r="M78" s="241">
        <f>IF(AND(BulletWeight&lt;&gt;"",LabelB23="Y"),"Bullet Wt:","")</f>
      </c>
      <c r="N78" s="235">
        <f>IF(AND(BulletWeight&lt;&gt;"",LabelB23="Y"),BulletWeight,"")</f>
      </c>
      <c r="O78" s="241">
        <f>IF(AND(OAL&lt;&gt;"",LabelB23="Y"),"OAL:","")</f>
      </c>
      <c r="P78" s="235">
        <f>IF(AND(OAL&lt;&gt;"",LabelB23="Y"),OAL,"")</f>
      </c>
      <c r="Q78" s="220"/>
      <c r="R78" s="241">
        <f>IF(AND(BulletWeight&lt;&gt;"",LabelB24="Y"),"Bullet Wt:","")</f>
      </c>
      <c r="S78" s="235">
        <f>IF(AND(BulletWeight&lt;&gt;"",LabelB24="Y"),BulletWeight,"")</f>
      </c>
      <c r="T78" s="241">
        <f>IF(AND(OAL&lt;&gt;"",LabelB24="Y"),"OAL:","")</f>
      </c>
      <c r="U78" s="235">
        <f>IF(AND(OAL&lt;&gt;"",LabelB24="Y"),OAL,"")</f>
      </c>
    </row>
    <row r="79" spans="1:21" ht="12" customHeight="1">
      <c r="A79" s="187"/>
      <c r="B79" s="187"/>
      <c r="C79" s="187"/>
      <c r="D79" s="187"/>
      <c r="E79" s="187"/>
      <c r="F79" s="187"/>
      <c r="G79" s="187"/>
      <c r="H79" s="241">
        <f>IF(AND(LoadDate&lt;&gt;"",LabelB22="Y"),"Date:","")</f>
      </c>
      <c r="I79" s="221">
        <f>IF(AND(LoadDate&lt;&gt;"",LabelB22="Y"),LoadDate,"")</f>
      </c>
      <c r="J79" s="241">
        <f>IF(AND(EstVelocity&lt;&gt;"",LabelB22="Y"),"Est. Velocity:","")</f>
      </c>
      <c r="K79" s="235">
        <f>IF(AND(EstVelocity&lt;&gt;"",LabelB22="Y"),EstVelocity,"")</f>
      </c>
      <c r="L79" s="219"/>
      <c r="M79" s="241">
        <f>IF(AND(LoadDate&lt;&gt;"",LabelB23="Y"),"Date:","")</f>
      </c>
      <c r="N79" s="221">
        <f>IF(AND(LoadDate&lt;&gt;"",LabelB23="Y"),LoadDate,"")</f>
      </c>
      <c r="O79" s="241">
        <f>IF(AND(EstVelocity&lt;&gt;"",LabelB23="Y"),"Est. Velocity:","")</f>
      </c>
      <c r="P79" s="235">
        <f>IF(AND(EstVelocity&lt;&gt;"",LabelB23="Y"),EstVelocity,"")</f>
      </c>
      <c r="Q79" s="220"/>
      <c r="R79" s="241">
        <f>IF(AND(LoadDate&lt;&gt;"",LabelB24="Y"),"Date:","")</f>
      </c>
      <c r="S79" s="221">
        <f>IF(AND(LoadDate&lt;&gt;"",LabelB24="Y"),LoadDate,"")</f>
      </c>
      <c r="T79" s="241">
        <f>IF(AND(EstVelocity&lt;&gt;"",LabelB24="Y"),"Est. Velocity:","")</f>
      </c>
      <c r="U79" s="235">
        <f>IF(AND(EstVelocity&lt;&gt;"",LabelB24="Y"),EstVelocity,"")</f>
      </c>
    </row>
    <row r="80" spans="1:21" ht="12" customHeight="1">
      <c r="A80" s="187"/>
      <c r="B80" s="187"/>
      <c r="C80" s="187"/>
      <c r="D80" s="187"/>
      <c r="E80" s="187"/>
      <c r="F80" s="187"/>
      <c r="G80" s="187"/>
      <c r="H80" s="187"/>
      <c r="I80" s="187"/>
      <c r="J80" s="187"/>
      <c r="K80" s="187"/>
      <c r="L80" s="187"/>
      <c r="M80" s="187"/>
      <c r="N80" s="187"/>
      <c r="O80" s="187"/>
      <c r="P80" s="187"/>
      <c r="Q80" s="187"/>
      <c r="R80" s="187"/>
      <c r="S80" s="187"/>
      <c r="T80" s="187"/>
      <c r="U80" s="187"/>
    </row>
    <row r="81" spans="1:21" ht="12" customHeight="1">
      <c r="A81" s="187"/>
      <c r="B81" s="187"/>
      <c r="C81" s="187"/>
      <c r="D81" s="187"/>
      <c r="E81" s="187"/>
      <c r="F81" s="187"/>
      <c r="G81" s="194"/>
      <c r="H81" s="240">
        <f>IF(AND(Caliber&lt;&gt;"",LabelB25="Y"),"Caliber:","")</f>
      </c>
      <c r="I81" s="235">
        <f>IF(AND(Caliber&lt;&gt;"",LabelB25="Y"),Caliber,"")</f>
      </c>
      <c r="J81" s="241">
        <f>IF(AND(PowderType&lt;&gt;"",LabelB25="Y"),"Powder Type:","")</f>
      </c>
      <c r="K81" s="235">
        <f>IF(AND(PowderType&lt;&gt;"",LabelB25="Y"),PowderType,"")</f>
      </c>
      <c r="L81" s="219"/>
      <c r="M81" s="240">
        <f>IF(AND(Caliber&lt;&gt;"",LabelB26="Y"),"Caliber:","")</f>
      </c>
      <c r="N81" s="235">
        <f>IF(AND(Caliber&lt;&gt;"",LabelB26="Y"),Caliber,"")</f>
      </c>
      <c r="O81" s="241">
        <f>IF(AND(PowderType&lt;&gt;"",LabelB26="Y"),"Powder Type:","")</f>
      </c>
      <c r="P81" s="235">
        <f>IF(AND(PowderType&lt;&gt;"",LabelB26="Y"),PowderType,"")</f>
      </c>
      <c r="Q81" s="197"/>
      <c r="R81" s="240">
        <f>IF(AND(Caliber&lt;&gt;"",LabelB27="Y"),"Caliber:","")</f>
      </c>
      <c r="S81" s="235">
        <f>IF(AND(Caliber&lt;&gt;"",LabelB27="Y"),Caliber,"")</f>
      </c>
      <c r="T81" s="241">
        <f>IF(AND(PowderType&lt;&gt;"",LabelB27="Y"),"Powder Type:","")</f>
      </c>
      <c r="U81" s="235">
        <f>IF(AND(PowderType&lt;&gt;"",LabelB27="Y"),PowderType,"")</f>
      </c>
    </row>
    <row r="82" spans="1:21" ht="12" customHeight="1">
      <c r="A82" s="187"/>
      <c r="B82" s="187"/>
      <c r="C82" s="187"/>
      <c r="D82" s="187"/>
      <c r="E82" s="187"/>
      <c r="F82" s="187"/>
      <c r="G82" s="187"/>
      <c r="H82" s="241">
        <f>IF(AND(CaseType&lt;&gt;"",LabelB25="Y"),"Case Type:","")</f>
      </c>
      <c r="I82" s="235">
        <f>IF(AND(CaseType&lt;&gt;"",LabelB25="Y"),CaseType,"")</f>
      </c>
      <c r="J82" s="241">
        <f>IF(AND(PowderWeight&lt;&gt;"",LabelB25="Y"),"Powder Weight:","")</f>
      </c>
      <c r="K82" s="235">
        <f>IF(AND(PowderWeight&lt;&gt;"",LabelB25="Y"),PowderWeight,"")</f>
      </c>
      <c r="L82" s="219"/>
      <c r="M82" s="241">
        <f>IF(AND(CaseType&lt;&gt;"",LabelB26="Y"),"Case Type:","")</f>
      </c>
      <c r="N82" s="235">
        <f>IF(AND(CaseType&lt;&gt;"",LabelB26="Y"),CaseType,"")</f>
      </c>
      <c r="O82" s="241">
        <f>IF(AND(PowderWeight&lt;&gt;"",LabelB26="Y"),"Powder Weight:","")</f>
      </c>
      <c r="P82" s="235">
        <f>IF(AND(PowderWeight&lt;&gt;"",LabelB26="Y"),PowderWeight,"")</f>
      </c>
      <c r="Q82" s="220"/>
      <c r="R82" s="241">
        <f>IF(AND(CaseType&lt;&gt;"",LabelB27="Y"),"Case Type:","")</f>
      </c>
      <c r="S82" s="235">
        <f>IF(AND(CaseType&lt;&gt;"",LabelB27="Y"),CaseType,"")</f>
      </c>
      <c r="T82" s="241">
        <f>IF(AND(PowderWeight&lt;&gt;"",LabelB27="Y"),"Powder Weight:","")</f>
      </c>
      <c r="U82" s="235">
        <f>IF(AND(PowderWeight&lt;&gt;"",LabelB27="Y"),PowderWeight,"")</f>
      </c>
    </row>
    <row r="83" spans="1:21" ht="12" customHeight="1">
      <c r="A83" s="187"/>
      <c r="B83" s="187"/>
      <c r="C83" s="187"/>
      <c r="D83" s="187"/>
      <c r="E83" s="187"/>
      <c r="F83" s="187"/>
      <c r="G83" s="187"/>
      <c r="H83" s="241">
        <f>IF(AND(BulletBrand&lt;&gt;"",LabelB25="Y"),"Bullet Brand:","")</f>
      </c>
      <c r="I83" s="235">
        <f>IF(AND(BulletBrand&lt;&gt;"",LabelB25="Y"),BulletBrand,"")</f>
      </c>
      <c r="J83" s="241">
        <f>IF(AND(PrimerBrand&lt;&gt;"",LabelB25="Y"),"Primer Brand:","")</f>
      </c>
      <c r="K83" s="235">
        <f>IF(AND(PrimerBrand&lt;&gt;"",LabelB25="Y"),PrimerBrand,"")</f>
      </c>
      <c r="L83" s="219"/>
      <c r="M83" s="241">
        <f>IF(AND(BulletBrand&lt;&gt;"",LabelB26="Y"),"Bullet Brand:","")</f>
      </c>
      <c r="N83" s="235">
        <f>IF(AND(BulletBrand&lt;&gt;"",LabelB26="Y"),BulletBrand,"")</f>
      </c>
      <c r="O83" s="241">
        <f>IF(AND(PrimerBrand&lt;&gt;"",LabelB26="Y"),"Primer Brand:","")</f>
      </c>
      <c r="P83" s="235">
        <f>IF(AND(PrimerBrand&lt;&gt;"",LabelB26="Y"),PrimerBrand,"")</f>
      </c>
      <c r="Q83" s="220"/>
      <c r="R83" s="241">
        <f>IF(AND(BulletBrand&lt;&gt;"",LabelB27="Y"),"Bullet Brand:","")</f>
      </c>
      <c r="S83" s="235">
        <f>IF(AND(BulletBrand&lt;&gt;"",LabelB27="Y"),BulletBrand,"")</f>
      </c>
      <c r="T83" s="241">
        <f>IF(AND(PrimerBrand&lt;&gt;"",LabelB27="Y"),"Primer Brand:","")</f>
      </c>
      <c r="U83" s="235">
        <f>IF(AND(PrimerBrand&lt;&gt;"",LabelB27="Y"),PrimerBrand,"")</f>
      </c>
    </row>
    <row r="84" spans="1:21" ht="12" customHeight="1">
      <c r="A84" s="187"/>
      <c r="B84" s="187"/>
      <c r="C84" s="187"/>
      <c r="D84" s="187"/>
      <c r="E84" s="187"/>
      <c r="F84" s="187"/>
      <c r="G84" s="187"/>
      <c r="H84" s="241">
        <f>IF(AND(BulletType&lt;&gt;"",LabelB25="Y"),"Bullet Type:","")</f>
      </c>
      <c r="I84" s="235">
        <f>IF(AND(BulletType&lt;&gt;"",LabelB25="Y"),BulletType,"")</f>
      </c>
      <c r="J84" s="241">
        <f>IF(AND(PrimerType&lt;&gt;"",LabelB25="Y"),"Primer Type/Lot:","")</f>
      </c>
      <c r="K84" s="235">
        <f>IF(AND(PrimerType&lt;&gt;"",LabelB25="Y"),PrimerType,"")</f>
      </c>
      <c r="L84" s="219"/>
      <c r="M84" s="241">
        <f>IF(AND(BulletType&lt;&gt;"",LabelB26="Y"),"Bullet Type:","")</f>
      </c>
      <c r="N84" s="235">
        <f>IF(AND(BulletType&lt;&gt;"",LabelB26="Y"),BulletType,"")</f>
      </c>
      <c r="O84" s="241">
        <f>IF(AND(PrimerType&lt;&gt;"",LabelB26="Y"),"Primer Type/Lot:","")</f>
      </c>
      <c r="P84" s="235">
        <f>IF(AND(PrimerType&lt;&gt;"",LabelB26="Y"),PrimerType,"")</f>
      </c>
      <c r="Q84" s="220"/>
      <c r="R84" s="241">
        <f>IF(AND(BulletType&lt;&gt;"",LabelB27="Y"),"Bullet Type:","")</f>
      </c>
      <c r="S84" s="235">
        <f>IF(AND(BulletType&lt;&gt;"",LabelB27="Y"),BulletType,"")</f>
      </c>
      <c r="T84" s="241">
        <f>IF(AND(PrimerType&lt;&gt;"",LabelB27="Y"),"Primer Type/Lot:","")</f>
      </c>
      <c r="U84" s="235">
        <f>IF(AND(PrimerType&lt;&gt;"",LabelB27="Y"),PrimerType,"")</f>
      </c>
    </row>
    <row r="85" spans="1:21" ht="12" customHeight="1">
      <c r="A85" s="187"/>
      <c r="B85" s="187"/>
      <c r="C85" s="187"/>
      <c r="D85" s="187"/>
      <c r="E85" s="187"/>
      <c r="F85" s="187"/>
      <c r="G85" s="187"/>
      <c r="H85" s="241">
        <f>IF(AND(BulletWeight&lt;&gt;"",LabelB25="Y"),"Bullet Wt:","")</f>
      </c>
      <c r="I85" s="235">
        <f>IF(AND(BulletWeight&lt;&gt;"",LabelB25="Y"),BulletWeight,"")</f>
      </c>
      <c r="J85" s="241">
        <f>IF(AND(OAL&lt;&gt;"",LabelB25="Y"),"OAL:","")</f>
      </c>
      <c r="K85" s="235">
        <f>IF(AND(OAL&lt;&gt;"",LabelB25="Y"),OAL,"")</f>
      </c>
      <c r="L85" s="219"/>
      <c r="M85" s="241">
        <f>IF(AND(BulletWeight&lt;&gt;"",LabelB26="Y"),"Bullet Wt:","")</f>
      </c>
      <c r="N85" s="235">
        <f>IF(AND(BulletWeight&lt;&gt;"",LabelB26="Y"),BulletWeight,"")</f>
      </c>
      <c r="O85" s="241">
        <f>IF(AND(OAL&lt;&gt;"",LabelB26="Y"),"OAL:","")</f>
      </c>
      <c r="P85" s="235">
        <f>IF(AND(OAL&lt;&gt;"",LabelB26="Y"),OAL,"")</f>
      </c>
      <c r="Q85" s="220"/>
      <c r="R85" s="241">
        <f>IF(AND(BulletWeight&lt;&gt;"",LabelB27="Y"),"Bullet Wt:","")</f>
      </c>
      <c r="S85" s="235">
        <f>IF(AND(BulletWeight&lt;&gt;"",LabelB27="Y"),BulletWeight,"")</f>
      </c>
      <c r="T85" s="241">
        <f>IF(AND(OAL&lt;&gt;"",LabelB27="Y"),"OAL:","")</f>
      </c>
      <c r="U85" s="235">
        <f>IF(AND(OAL&lt;&gt;"",LabelB27="Y"),OAL,"")</f>
      </c>
    </row>
    <row r="86" spans="1:21" ht="12" customHeight="1">
      <c r="A86" s="187"/>
      <c r="B86" s="187"/>
      <c r="C86" s="187"/>
      <c r="D86" s="187"/>
      <c r="E86" s="187"/>
      <c r="F86" s="187"/>
      <c r="G86" s="187"/>
      <c r="H86" s="241">
        <f>IF(AND(LoadDate&lt;&gt;"",LabelB25="Y"),"Date:","")</f>
      </c>
      <c r="I86" s="221">
        <f>IF(AND(LoadDate&lt;&gt;"",LabelB25="Y"),LoadDate,"")</f>
      </c>
      <c r="J86" s="241">
        <f>IF(AND(EstVelocity&lt;&gt;"",LabelB25="Y"),"Est. Velocity:","")</f>
      </c>
      <c r="K86" s="235">
        <f>IF(AND(EstVelocity&lt;&gt;"",LabelB25="Y"),EstVelocity,"")</f>
      </c>
      <c r="L86" s="219"/>
      <c r="M86" s="241">
        <f>IF(AND(LoadDate&lt;&gt;"",LabelB26="Y"),"Date:","")</f>
      </c>
      <c r="N86" s="221">
        <f>IF(AND(LoadDate&lt;&gt;"",LabelB26="Y"),LoadDate,"")</f>
      </c>
      <c r="O86" s="241">
        <f>IF(AND(EstVelocity&lt;&gt;"",LabelB26="Y"),"Est. Velocity:","")</f>
      </c>
      <c r="P86" s="235">
        <f>IF(AND(EstVelocity&lt;&gt;"",LabelB26="Y"),EstVelocity,"")</f>
      </c>
      <c r="Q86" s="220"/>
      <c r="R86" s="241">
        <f>IF(AND(LoadDate&lt;&gt;"",LabelB27="Y"),"Date:","")</f>
      </c>
      <c r="S86" s="221">
        <f>IF(AND(LoadDate&lt;&gt;"",LabelB27="Y"),LoadDate,"")</f>
      </c>
      <c r="T86" s="241">
        <f>IF(AND(EstVelocity&lt;&gt;"",LabelB27="Y"),"Est. Velocity:","")</f>
      </c>
      <c r="U86" s="235">
        <f>IF(AND(EstVelocity&lt;&gt;"",LabelB27="Y"),EstVelocity,"")</f>
      </c>
    </row>
    <row r="87" spans="1:21" ht="12" customHeight="1">
      <c r="A87" s="187"/>
      <c r="B87" s="187"/>
      <c r="C87" s="187"/>
      <c r="D87" s="187"/>
      <c r="E87" s="187"/>
      <c r="F87" s="187"/>
      <c r="G87" s="187"/>
      <c r="H87" s="187"/>
      <c r="I87" s="187"/>
      <c r="J87" s="187"/>
      <c r="K87" s="187"/>
      <c r="L87" s="187"/>
      <c r="M87" s="187"/>
      <c r="N87" s="187"/>
      <c r="O87" s="187"/>
      <c r="P87" s="187"/>
      <c r="Q87" s="187"/>
      <c r="R87" s="187"/>
      <c r="S87" s="187"/>
      <c r="T87" s="187"/>
      <c r="U87" s="187"/>
    </row>
    <row r="88" spans="1:21" ht="12" customHeight="1">
      <c r="A88" s="187"/>
      <c r="B88" s="187"/>
      <c r="C88" s="187"/>
      <c r="D88" s="187"/>
      <c r="E88" s="187"/>
      <c r="F88" s="187"/>
      <c r="G88" s="194"/>
      <c r="H88" s="240">
        <f>IF(AND(Caliber&lt;&gt;"",LabelB28="Y"),"Caliber:","")</f>
      </c>
      <c r="I88" s="235">
        <f>IF(AND(Caliber&lt;&gt;"",LabelB28="Y"),Caliber,"")</f>
      </c>
      <c r="J88" s="241">
        <f>IF(AND(PowderType&lt;&gt;"",LabelB28="Y"),"Powder Type:","")</f>
      </c>
      <c r="K88" s="235">
        <f>IF(AND(PowderType&lt;&gt;"",LabelB28="Y"),PowderType,"")</f>
      </c>
      <c r="L88" s="219"/>
      <c r="M88" s="240">
        <f>IF(AND(Caliber&lt;&gt;"",LabelB29="Y"),"Caliber:","")</f>
      </c>
      <c r="N88" s="235">
        <f>IF(AND(Caliber&lt;&gt;"",LabelB29="Y"),Caliber,"")</f>
      </c>
      <c r="O88" s="241">
        <f>IF(AND(PowderType&lt;&gt;"",LabelB29="Y"),"Powder Type:","")</f>
      </c>
      <c r="P88" s="235">
        <f>IF(AND(PowderType&lt;&gt;"",LabelB29="Y"),PowderType,"")</f>
      </c>
      <c r="Q88" s="197"/>
      <c r="R88" s="240">
        <f>IF(AND(Caliber&lt;&gt;"",LabelB30="Y"),"Caliber:","")</f>
      </c>
      <c r="S88" s="235">
        <f>IF(AND(Caliber&lt;&gt;"",LabelB30="Y"),Caliber,"")</f>
      </c>
      <c r="T88" s="241">
        <f>IF(AND(PowderType&lt;&gt;"",LabelB30="Y"),"Powder Type:","")</f>
      </c>
      <c r="U88" s="235">
        <f>IF(AND(PowderType&lt;&gt;"",LabelB30="Y"),PowderType,"")</f>
      </c>
    </row>
    <row r="89" spans="1:21" ht="12" customHeight="1">
      <c r="A89" s="187"/>
      <c r="B89" s="187"/>
      <c r="C89" s="187"/>
      <c r="D89" s="187"/>
      <c r="E89" s="187"/>
      <c r="F89" s="187"/>
      <c r="G89" s="187"/>
      <c r="H89" s="241">
        <f>IF(AND(CaseType&lt;&gt;"",LabelB28="Y"),"Case Type:","")</f>
      </c>
      <c r="I89" s="235">
        <f>IF(AND(CaseType&lt;&gt;"",LabelB28="Y"),CaseType,"")</f>
      </c>
      <c r="J89" s="241">
        <f>IF(AND(PowderWeight&lt;&gt;"",LabelB28="Y"),"Powder Weight:","")</f>
      </c>
      <c r="K89" s="235">
        <f>IF(AND(PowderWeight&lt;&gt;"",LabelB28="Y"),PowderWeight,"")</f>
      </c>
      <c r="L89" s="219"/>
      <c r="M89" s="241">
        <f>IF(AND(CaseType&lt;&gt;"",LabelB29="Y"),"Case Type:","")</f>
      </c>
      <c r="N89" s="235">
        <f>IF(AND(CaseType&lt;&gt;"",LabelB29="Y"),CaseType,"")</f>
      </c>
      <c r="O89" s="241">
        <f>IF(AND(PowderWeight&lt;&gt;"",LabelB29="Y"),"Powder Weight:","")</f>
      </c>
      <c r="P89" s="235">
        <f>IF(AND(PowderWeight&lt;&gt;"",LabelB29="Y"),PowderWeight,"")</f>
      </c>
      <c r="Q89" s="220"/>
      <c r="R89" s="241">
        <f>IF(AND(CaseType&lt;&gt;"",LabelB30="Y"),"Case Type:","")</f>
      </c>
      <c r="S89" s="235">
        <f>IF(AND(CaseType&lt;&gt;"",LabelB30="Y"),CaseType,"")</f>
      </c>
      <c r="T89" s="241">
        <f>IF(AND(PowderWeight&lt;&gt;"",LabelB30="Y"),"Powder Weight:","")</f>
      </c>
      <c r="U89" s="235">
        <f>IF(AND(PowderWeight&lt;&gt;"",LabelB30="Y"),PowderWeight,"")</f>
      </c>
    </row>
    <row r="90" spans="1:21" ht="12" customHeight="1">
      <c r="A90" s="187"/>
      <c r="B90" s="187"/>
      <c r="C90" s="187"/>
      <c r="D90" s="187"/>
      <c r="E90" s="187"/>
      <c r="F90" s="187"/>
      <c r="G90" s="187"/>
      <c r="H90" s="241">
        <f>IF(AND(BulletBrand&lt;&gt;"",LabelB28="Y"),"Bullet Brand:","")</f>
      </c>
      <c r="I90" s="235">
        <f>IF(AND(BulletBrand&lt;&gt;"",LabelB28="Y"),BulletBrand,"")</f>
      </c>
      <c r="J90" s="241">
        <f>IF(AND(PrimerBrand&lt;&gt;"",LabelB28="Y"),"Primer Brand:","")</f>
      </c>
      <c r="K90" s="235">
        <f>IF(AND(PrimerBrand&lt;&gt;"",LabelB28="Y"),PrimerBrand,"")</f>
      </c>
      <c r="L90" s="219"/>
      <c r="M90" s="241">
        <f>IF(AND(BulletBrand&lt;&gt;"",LabelB29="Y"),"Bullet Brand:","")</f>
      </c>
      <c r="N90" s="235">
        <f>IF(AND(BulletBrand&lt;&gt;"",LabelB29="Y"),BulletBrand,"")</f>
      </c>
      <c r="O90" s="241">
        <f>IF(AND(PrimerBrand&lt;&gt;"",LabelB29="Y"),"Primer Brand:","")</f>
      </c>
      <c r="P90" s="235">
        <f>IF(AND(PrimerBrand&lt;&gt;"",LabelB29="Y"),PrimerBrand,"")</f>
      </c>
      <c r="Q90" s="220"/>
      <c r="R90" s="241">
        <f>IF(AND(BulletBrand&lt;&gt;"",LabelB30="Y"),"Bullet Brand:","")</f>
      </c>
      <c r="S90" s="235">
        <f>IF(AND(BulletBrand&lt;&gt;"",LabelB30="Y"),BulletBrand,"")</f>
      </c>
      <c r="T90" s="241">
        <f>IF(AND(PrimerBrand&lt;&gt;"",LabelB30="Y"),"Primer Brand:","")</f>
      </c>
      <c r="U90" s="235">
        <f>IF(AND(PrimerBrand&lt;&gt;"",LabelB30="Y"),PrimerBrand,"")</f>
      </c>
    </row>
    <row r="91" spans="1:21" ht="12" customHeight="1">
      <c r="A91" s="187"/>
      <c r="B91" s="187"/>
      <c r="C91" s="187"/>
      <c r="D91" s="187"/>
      <c r="E91" s="187"/>
      <c r="F91" s="187"/>
      <c r="G91" s="187"/>
      <c r="H91" s="241">
        <f>IF(AND(BulletType&lt;&gt;"",LabelB28="Y"),"Bullet Type:","")</f>
      </c>
      <c r="I91" s="235">
        <f>IF(AND(BulletType&lt;&gt;"",LabelB28="Y"),BulletType,"")</f>
      </c>
      <c r="J91" s="241">
        <f>IF(AND(PrimerType&lt;&gt;"",LabelB28="Y"),"Primer Type/Lot:","")</f>
      </c>
      <c r="K91" s="235">
        <f>IF(AND(PrimerType&lt;&gt;"",LabelB28="Y"),PrimerType,"")</f>
      </c>
      <c r="L91" s="219"/>
      <c r="M91" s="241">
        <f>IF(AND(BulletType&lt;&gt;"",LabelB29="Y"),"Bullet Type:","")</f>
      </c>
      <c r="N91" s="235">
        <f>IF(AND(BulletType&lt;&gt;"",LabelB29="Y"),BulletType,"")</f>
      </c>
      <c r="O91" s="241">
        <f>IF(AND(PrimerType&lt;&gt;"",LabelB29="Y"),"Primer Type/Lot:","")</f>
      </c>
      <c r="P91" s="235">
        <f>IF(AND(PrimerType&lt;&gt;"",LabelB29="Y"),PrimerType,"")</f>
      </c>
      <c r="Q91" s="220"/>
      <c r="R91" s="241">
        <f>IF(AND(BulletType&lt;&gt;"",LabelB30="Y"),"Bullet Type:","")</f>
      </c>
      <c r="S91" s="235">
        <f>IF(AND(BulletType&lt;&gt;"",LabelB30="Y"),BulletType,"")</f>
      </c>
      <c r="T91" s="241">
        <f>IF(AND(PrimerType&lt;&gt;"",LabelB30="Y"),"Primer Type/Lot:","")</f>
      </c>
      <c r="U91" s="235">
        <f>IF(AND(PrimerType&lt;&gt;"",LabelB30="Y"),PrimerType,"")</f>
      </c>
    </row>
    <row r="92" spans="1:21" ht="12" customHeight="1">
      <c r="A92" s="187"/>
      <c r="B92" s="187"/>
      <c r="C92" s="187"/>
      <c r="D92" s="187"/>
      <c r="E92" s="187"/>
      <c r="F92" s="187"/>
      <c r="G92" s="187"/>
      <c r="H92" s="241">
        <f>IF(AND(BulletWeight&lt;&gt;"",LabelB28="Y"),"Bullet Wt:","")</f>
      </c>
      <c r="I92" s="235">
        <f>IF(AND(BulletWeight&lt;&gt;"",LabelB28="Y"),BulletWeight,"")</f>
      </c>
      <c r="J92" s="241">
        <f>IF(AND(OAL&lt;&gt;"",LabelB28="Y"),"OAL:","")</f>
      </c>
      <c r="K92" s="235">
        <f>IF(AND(OAL&lt;&gt;"",LabelB28="Y"),OAL,"")</f>
      </c>
      <c r="L92" s="219"/>
      <c r="M92" s="241">
        <f>IF(AND(BulletWeight&lt;&gt;"",LabelB29="Y"),"Bullet Wt:","")</f>
      </c>
      <c r="N92" s="235">
        <f>IF(AND(BulletWeight&lt;&gt;"",LabelB29="Y"),BulletWeight,"")</f>
      </c>
      <c r="O92" s="241">
        <f>IF(AND(OAL&lt;&gt;"",LabelB29="Y"),"OAL:","")</f>
      </c>
      <c r="P92" s="235">
        <f>IF(AND(OAL&lt;&gt;"",LabelB29="Y"),OAL,"")</f>
      </c>
      <c r="Q92" s="220"/>
      <c r="R92" s="241">
        <f>IF(AND(BulletWeight&lt;&gt;"",LabelB30="Y"),"Bullet Wt:","")</f>
      </c>
      <c r="S92" s="235">
        <f>IF(AND(BulletWeight&lt;&gt;"",LabelB30="Y"),BulletWeight,"")</f>
      </c>
      <c r="T92" s="241">
        <f>IF(AND(OAL&lt;&gt;"",LabelB30="Y"),"OAL:","")</f>
      </c>
      <c r="U92" s="235">
        <f>IF(AND(OAL&lt;&gt;"",LabelB30="Y"),OAL,"")</f>
      </c>
    </row>
    <row r="93" spans="1:21" ht="12" customHeight="1">
      <c r="A93" s="187"/>
      <c r="B93" s="187"/>
      <c r="C93" s="187"/>
      <c r="D93" s="187"/>
      <c r="E93" s="187"/>
      <c r="F93" s="187"/>
      <c r="G93" s="187"/>
      <c r="H93" s="241">
        <f>IF(AND(LoadDate&lt;&gt;"",LabelB28="Y"),"Date:","")</f>
      </c>
      <c r="I93" s="221">
        <f>IF(AND(LoadDate&lt;&gt;"",LabelB28="Y"),LoadDate,"")</f>
      </c>
      <c r="J93" s="241">
        <f>IF(AND(EstVelocity&lt;&gt;"",LabelB28="Y"),"Est. Velocity:","")</f>
      </c>
      <c r="K93" s="235">
        <f>IF(AND(EstVelocity&lt;&gt;"",LabelB28="Y"),EstVelocity,"")</f>
      </c>
      <c r="L93" s="219"/>
      <c r="M93" s="241">
        <f>IF(AND(LoadDate&lt;&gt;"",LabelB29="Y"),"Date:","")</f>
      </c>
      <c r="N93" s="221">
        <f>IF(AND(LoadDate&lt;&gt;"",LabelB29="Y"),LoadDate,"")</f>
      </c>
      <c r="O93" s="241">
        <f>IF(AND(EstVelocity&lt;&gt;"",LabelB29="Y"),"Est. Velocity:","")</f>
      </c>
      <c r="P93" s="235">
        <f>IF(AND(EstVelocity&lt;&gt;"",LabelB29="Y"),EstVelocity,"")</f>
      </c>
      <c r="Q93" s="220"/>
      <c r="R93" s="241">
        <f>IF(AND(LoadDate&lt;&gt;"",LabelB30="Y"),"Date:","")</f>
      </c>
      <c r="S93" s="221">
        <f>IF(AND(LoadDate&lt;&gt;"",LabelB30="Y"),LoadDate,"")</f>
      </c>
      <c r="T93" s="241">
        <f>IF(AND(EstVelocity&lt;&gt;"",LabelB30="Y"),"Est. Velocity:","")</f>
      </c>
      <c r="U93" s="235">
        <f>IF(AND(EstVelocity&lt;&gt;"",LabelB30="Y"),EstVelocity,"")</f>
      </c>
    </row>
  </sheetData>
  <sheetProtection sheet="1" objects="1" scenarios="1"/>
  <mergeCells count="2">
    <mergeCell ref="B2:F8"/>
    <mergeCell ref="H11:N20"/>
  </mergeCells>
  <conditionalFormatting sqref="R10:R15 P11:P14 R17:R20 N26:N30 P24:P30 R23:R24 S26:S30 P18:P20 L10 U25:U30 M23:M24 I26:I30 K24:K30 N33:N37 P32:P37 S33:S37 U32:U37 I33:I37 K32:K37 N40:N44 P39:P44 S40:S44 U39:U44 I40:I44 K39:K44 N47:N51 P46:P51 I82:I86 K81:K86 I47:I51 K46:K51 S89:S93 U88:U93 S54:S58 U53:U58 S47:S51 U46:U51 I61:I65 K60:K65 N61:N65 P60:P65 N54:N58 P53:P58 I68:I72 K67:K72 N68:N72 P67:P72 S61:S65 U60:U65 N75:N79 P74:P79 I89:I93 K88:K93 S68:S72 U67:U72 N82:N86 P81:P86 S75:S79 U74:U79 I75:I79 K74:K79 N89:N93 P88:P93 I54:I58 K53:K58 S82:S86 U81:U86">
    <cfRule type="cellIs" priority="1" dxfId="3" operator="notEqual" stopIfTrue="1">
      <formula>""</formula>
    </cfRule>
  </conditionalFormatting>
  <conditionalFormatting sqref="P10 N25 S25 P15 P17 P23 I10 K23 I25 N32 S32 I32 N39 S39 I39 N46 I81 I46 S88 S53 S46 I60 N60 N53 I67 N67 S60 N74 I88 S67 N81 S74 I74 N88 I53 S81">
    <cfRule type="cellIs" priority="2" dxfId="4" operator="notEqual" stopIfTrue="1">
      <formula>""</formula>
    </cfRule>
  </conditionalFormatting>
  <conditionalFormatting sqref="F15 B15 B13 F9 F11 F13">
    <cfRule type="expression" priority="3" dxfId="0" stopIfTrue="1">
      <formula>B$10="Y"</formula>
    </cfRule>
  </conditionalFormatting>
  <conditionalFormatting sqref="B9">
    <cfRule type="expression" priority="4" dxfId="0" stopIfTrue="1">
      <formula>B$9="Y"</formula>
    </cfRule>
  </conditionalFormatting>
  <conditionalFormatting sqref="B11">
    <cfRule type="expression" priority="5" dxfId="0" stopIfTrue="1">
      <formula>B$11="Y"</formula>
    </cfRule>
  </conditionalFormatting>
  <conditionalFormatting sqref="C10:E19">
    <cfRule type="cellIs" priority="6" dxfId="0" operator="equal" stopIfTrue="1">
      <formula>"Y"</formula>
    </cfRule>
  </conditionalFormatting>
  <printOptions horizontalCentered="1" verticalCentered="1"/>
  <pageMargins left="0" right="0" top="0" bottom="0" header="0" footer="0"/>
  <pageSetup fitToHeight="1" fitToWidth="1" horizontalDpi="300" verticalDpi="300" orientation="portrait" scale="88" r:id="rId1"/>
</worksheet>
</file>

<file path=xl/worksheets/sheet5.xml><?xml version="1.0" encoding="utf-8"?>
<worksheet xmlns="http://schemas.openxmlformats.org/spreadsheetml/2006/main" xmlns:r="http://schemas.openxmlformats.org/officeDocument/2006/relationships">
  <dimension ref="A1:L32"/>
  <sheetViews>
    <sheetView workbookViewId="0" topLeftCell="A1">
      <selection activeCell="E7" sqref="E7"/>
    </sheetView>
  </sheetViews>
  <sheetFormatPr defaultColWidth="9.140625" defaultRowHeight="12.75"/>
  <cols>
    <col min="1" max="2" width="9.140625" style="1" customWidth="1"/>
    <col min="3" max="3" width="14.57421875" style="1" customWidth="1"/>
    <col min="4" max="7" width="16.00390625" style="1" customWidth="1"/>
    <col min="8" max="8" width="9.140625" style="1" customWidth="1"/>
    <col min="9" max="9" width="7.140625" style="1" customWidth="1"/>
    <col min="10" max="16384" width="9.140625" style="1" customWidth="1"/>
  </cols>
  <sheetData>
    <row r="1" spans="1:12" ht="18">
      <c r="A1" s="85"/>
      <c r="B1" s="85"/>
      <c r="C1" s="85"/>
      <c r="D1" s="85"/>
      <c r="E1" s="85"/>
      <c r="F1" s="85"/>
      <c r="G1" s="85"/>
      <c r="H1" s="85"/>
      <c r="I1" s="85"/>
      <c r="J1" s="85"/>
      <c r="K1" s="85"/>
      <c r="L1" s="85"/>
    </row>
    <row r="2" spans="1:12" ht="20.25">
      <c r="A2" s="85"/>
      <c r="B2" s="85"/>
      <c r="C2" s="85"/>
      <c r="D2" s="250" t="s">
        <v>156</v>
      </c>
      <c r="F2" s="85"/>
      <c r="G2" s="85"/>
      <c r="H2" s="85"/>
      <c r="I2" s="85"/>
      <c r="J2" s="85"/>
      <c r="K2" s="85"/>
      <c r="L2" s="85"/>
    </row>
    <row r="3" spans="1:12" ht="18.75" thickBot="1">
      <c r="A3" s="85"/>
      <c r="B3" s="85"/>
      <c r="C3" s="85"/>
      <c r="D3" s="85"/>
      <c r="E3" s="85"/>
      <c r="F3" s="85"/>
      <c r="G3" s="85"/>
      <c r="H3" s="85"/>
      <c r="I3" s="85"/>
      <c r="J3" s="85"/>
      <c r="K3" s="85"/>
      <c r="L3" s="85"/>
    </row>
    <row r="4" spans="1:12" ht="18.75" thickTop="1">
      <c r="A4" s="85"/>
      <c r="B4" s="2"/>
      <c r="C4" s="3"/>
      <c r="D4" s="3"/>
      <c r="E4" s="3"/>
      <c r="F4" s="3"/>
      <c r="G4" s="3"/>
      <c r="H4" s="3"/>
      <c r="I4" s="4"/>
      <c r="J4" s="85"/>
      <c r="K4" s="85"/>
      <c r="L4" s="85"/>
    </row>
    <row r="5" spans="1:12" ht="18">
      <c r="A5" s="85"/>
      <c r="B5" s="5"/>
      <c r="C5" s="6"/>
      <c r="D5" s="6"/>
      <c r="E5" s="6"/>
      <c r="F5" s="6"/>
      <c r="G5" s="6"/>
      <c r="H5" s="6"/>
      <c r="I5" s="7"/>
      <c r="J5" s="85"/>
      <c r="K5" s="85"/>
      <c r="L5" s="85"/>
    </row>
    <row r="6" spans="1:12" ht="18">
      <c r="A6" s="85"/>
      <c r="B6" s="5"/>
      <c r="C6" s="6"/>
      <c r="D6" s="8" t="s">
        <v>1</v>
      </c>
      <c r="E6" s="8" t="s">
        <v>0</v>
      </c>
      <c r="F6" s="8" t="s">
        <v>2</v>
      </c>
      <c r="G6" s="8" t="s">
        <v>3</v>
      </c>
      <c r="H6" s="6"/>
      <c r="I6" s="7"/>
      <c r="J6" s="6"/>
      <c r="K6" s="6"/>
      <c r="L6" s="85"/>
    </row>
    <row r="7" spans="1:12" ht="18">
      <c r="A7" s="85"/>
      <c r="B7" s="5"/>
      <c r="C7" s="6"/>
      <c r="D7" s="73"/>
      <c r="E7" s="73"/>
      <c r="F7" s="73"/>
      <c r="G7" s="73"/>
      <c r="H7" s="6"/>
      <c r="I7" s="7"/>
      <c r="J7" s="85"/>
      <c r="K7" s="85"/>
      <c r="L7" s="85"/>
    </row>
    <row r="8" spans="1:12" ht="18">
      <c r="A8" s="85"/>
      <c r="B8" s="5"/>
      <c r="C8" s="6"/>
      <c r="D8" s="10"/>
      <c r="E8" s="10"/>
      <c r="F8" s="10"/>
      <c r="G8" s="10"/>
      <c r="H8" s="6"/>
      <c r="I8" s="7"/>
      <c r="J8" s="85"/>
      <c r="K8" s="85"/>
      <c r="L8" s="85"/>
    </row>
    <row r="9" spans="1:12" ht="18">
      <c r="A9" s="85"/>
      <c r="B9" s="5"/>
      <c r="C9" s="8" t="s">
        <v>1</v>
      </c>
      <c r="D9" s="11"/>
      <c r="E9" s="12">
        <f>E12*453.59237</f>
        <v>0</v>
      </c>
      <c r="F9" s="12">
        <f>F12*453.59237</f>
        <v>0</v>
      </c>
      <c r="G9" s="12">
        <f>G7*453.59237</f>
        <v>0</v>
      </c>
      <c r="H9" s="6"/>
      <c r="I9" s="7"/>
      <c r="J9" s="85"/>
      <c r="K9" s="85"/>
      <c r="L9" s="85"/>
    </row>
    <row r="10" spans="1:12" ht="18">
      <c r="A10" s="85"/>
      <c r="B10" s="5"/>
      <c r="C10" s="8" t="s">
        <v>0</v>
      </c>
      <c r="D10" s="12">
        <f>D12*7000</f>
        <v>0</v>
      </c>
      <c r="E10" s="13"/>
      <c r="F10" s="12">
        <f>F12*7000</f>
        <v>0</v>
      </c>
      <c r="G10" s="12">
        <f>G7*7000</f>
        <v>0</v>
      </c>
      <c r="H10" s="6"/>
      <c r="I10" s="7"/>
      <c r="J10" s="85"/>
      <c r="K10" s="85"/>
      <c r="L10" s="85"/>
    </row>
    <row r="11" spans="1:12" ht="18">
      <c r="A11" s="85"/>
      <c r="B11" s="5"/>
      <c r="C11" s="8" t="s">
        <v>2</v>
      </c>
      <c r="D11" s="12">
        <f>D12*16</f>
        <v>0</v>
      </c>
      <c r="E11" s="12">
        <f>E12*16</f>
        <v>0</v>
      </c>
      <c r="F11" s="13"/>
      <c r="G11" s="12">
        <f>G7*16</f>
        <v>0</v>
      </c>
      <c r="H11" s="6"/>
      <c r="I11" s="7"/>
      <c r="J11" s="85"/>
      <c r="K11" s="85"/>
      <c r="L11" s="85"/>
    </row>
    <row r="12" spans="1:12" ht="18">
      <c r="A12" s="85"/>
      <c r="B12" s="5"/>
      <c r="C12" s="8" t="s">
        <v>3</v>
      </c>
      <c r="D12" s="12">
        <f>D7/453.59237</f>
        <v>0</v>
      </c>
      <c r="E12" s="12">
        <f>E7/7000</f>
        <v>0</v>
      </c>
      <c r="F12" s="12">
        <f>F7/16</f>
        <v>0</v>
      </c>
      <c r="G12" s="13"/>
      <c r="H12" s="6"/>
      <c r="I12" s="7"/>
      <c r="J12" s="85"/>
      <c r="K12" s="85"/>
      <c r="L12" s="85"/>
    </row>
    <row r="13" spans="1:12" ht="18">
      <c r="A13" s="85"/>
      <c r="B13" s="5"/>
      <c r="C13" s="6"/>
      <c r="D13" s="6"/>
      <c r="E13" s="8"/>
      <c r="F13" s="8"/>
      <c r="G13" s="8"/>
      <c r="H13" s="6"/>
      <c r="I13" s="7"/>
      <c r="J13" s="85"/>
      <c r="K13" s="85"/>
      <c r="L13" s="85"/>
    </row>
    <row r="14" spans="1:12" ht="18">
      <c r="A14" s="85"/>
      <c r="B14" s="5"/>
      <c r="C14" s="6"/>
      <c r="D14" s="6"/>
      <c r="E14" s="8"/>
      <c r="F14" s="8"/>
      <c r="G14" s="8"/>
      <c r="H14" s="6"/>
      <c r="I14" s="7"/>
      <c r="J14" s="85"/>
      <c r="K14" s="85"/>
      <c r="L14" s="85"/>
    </row>
    <row r="15" spans="1:12" ht="18">
      <c r="A15" s="85"/>
      <c r="B15" s="5"/>
      <c r="C15" s="6"/>
      <c r="D15" s="6" t="s">
        <v>95</v>
      </c>
      <c r="E15" s="8" t="s">
        <v>96</v>
      </c>
      <c r="F15" s="8"/>
      <c r="G15" s="8"/>
      <c r="H15" s="6"/>
      <c r="I15" s="7"/>
      <c r="J15" s="85"/>
      <c r="K15" s="85"/>
      <c r="L15" s="85"/>
    </row>
    <row r="16" spans="1:12" ht="18">
      <c r="A16" s="85"/>
      <c r="B16" s="5"/>
      <c r="C16" s="85"/>
      <c r="D16" s="88"/>
      <c r="E16" s="88"/>
      <c r="F16" s="8"/>
      <c r="G16" s="8"/>
      <c r="H16" s="6"/>
      <c r="I16" s="7"/>
      <c r="J16" s="85"/>
      <c r="K16" s="85"/>
      <c r="L16" s="85"/>
    </row>
    <row r="17" spans="1:12" ht="18">
      <c r="A17" s="85"/>
      <c r="B17" s="5"/>
      <c r="C17" s="85"/>
      <c r="D17" s="85"/>
      <c r="E17" s="85"/>
      <c r="F17" s="8"/>
      <c r="G17" s="8"/>
      <c r="H17" s="6"/>
      <c r="I17" s="7"/>
      <c r="J17" s="85"/>
      <c r="K17" s="85"/>
      <c r="L17" s="85"/>
    </row>
    <row r="18" spans="1:12" ht="18">
      <c r="A18" s="85"/>
      <c r="B18" s="5"/>
      <c r="C18" s="6" t="s">
        <v>95</v>
      </c>
      <c r="D18" s="11"/>
      <c r="E18" s="86">
        <f>E16/25.4</f>
        <v>0</v>
      </c>
      <c r="F18" s="8"/>
      <c r="G18" s="8"/>
      <c r="H18" s="6"/>
      <c r="I18" s="7"/>
      <c r="J18" s="85"/>
      <c r="K18" s="85"/>
      <c r="L18" s="85"/>
    </row>
    <row r="19" spans="1:12" ht="18">
      <c r="A19" s="85"/>
      <c r="B19" s="5"/>
      <c r="C19" s="6" t="s">
        <v>96</v>
      </c>
      <c r="D19" s="87">
        <f>D16*25.4</f>
        <v>0</v>
      </c>
      <c r="E19" s="13"/>
      <c r="F19" s="8"/>
      <c r="G19" s="8"/>
      <c r="H19" s="6"/>
      <c r="I19" s="7"/>
      <c r="J19" s="85"/>
      <c r="K19" s="85"/>
      <c r="L19" s="85"/>
    </row>
    <row r="20" spans="1:12" ht="18">
      <c r="A20" s="85"/>
      <c r="B20" s="5"/>
      <c r="C20" s="6"/>
      <c r="D20" s="6"/>
      <c r="E20" s="8"/>
      <c r="F20" s="8"/>
      <c r="G20" s="8"/>
      <c r="H20" s="6"/>
      <c r="I20" s="7"/>
      <c r="J20" s="85"/>
      <c r="K20" s="85"/>
      <c r="L20" s="85"/>
    </row>
    <row r="21" spans="1:12" ht="18">
      <c r="A21" s="85"/>
      <c r="B21" s="5"/>
      <c r="C21" s="226" t="s">
        <v>18</v>
      </c>
      <c r="D21" s="6"/>
      <c r="E21" s="6"/>
      <c r="F21" s="6"/>
      <c r="G21" s="6"/>
      <c r="H21" s="6"/>
      <c r="I21" s="7"/>
      <c r="J21" s="85"/>
      <c r="K21" s="85"/>
      <c r="L21" s="85"/>
    </row>
    <row r="22" spans="1:12" ht="18">
      <c r="A22" s="85"/>
      <c r="B22" s="5"/>
      <c r="C22" s="6"/>
      <c r="D22" s="8"/>
      <c r="E22" s="6"/>
      <c r="F22" s="6"/>
      <c r="G22" s="6"/>
      <c r="H22" s="6"/>
      <c r="I22" s="7"/>
      <c r="J22" s="85"/>
      <c r="K22" s="85"/>
      <c r="L22" s="85"/>
    </row>
    <row r="23" spans="1:12" ht="18.75" thickBot="1">
      <c r="A23" s="85"/>
      <c r="B23" s="14"/>
      <c r="C23" s="15"/>
      <c r="D23" s="16"/>
      <c r="E23" s="15"/>
      <c r="F23" s="15"/>
      <c r="G23" s="15"/>
      <c r="H23" s="15"/>
      <c r="I23" s="17"/>
      <c r="J23" s="85"/>
      <c r="K23" s="85"/>
      <c r="L23" s="85"/>
    </row>
    <row r="24" spans="1:12" ht="18.75" thickTop="1">
      <c r="A24" s="85"/>
      <c r="B24" s="85"/>
      <c r="C24" s="85"/>
      <c r="D24" s="164"/>
      <c r="E24" s="85"/>
      <c r="F24" s="85"/>
      <c r="G24" s="85"/>
      <c r="H24" s="85"/>
      <c r="I24" s="85"/>
      <c r="J24" s="85"/>
      <c r="K24" s="85"/>
      <c r="L24" s="85"/>
    </row>
    <row r="25" spans="1:12" ht="18">
      <c r="A25" s="85"/>
      <c r="B25" s="85"/>
      <c r="C25" s="85"/>
      <c r="D25" s="164"/>
      <c r="E25" s="85"/>
      <c r="F25" s="85"/>
      <c r="G25" s="85"/>
      <c r="H25" s="85"/>
      <c r="I25" s="85"/>
      <c r="J25" s="85"/>
      <c r="K25" s="85"/>
      <c r="L25" s="85"/>
    </row>
    <row r="26" spans="3:12" ht="18">
      <c r="C26" s="9"/>
      <c r="D26" s="18"/>
      <c r="E26" s="9"/>
      <c r="F26" s="9"/>
      <c r="G26" s="9"/>
      <c r="H26" s="9"/>
      <c r="I26" s="9"/>
      <c r="J26" s="9"/>
      <c r="K26" s="9"/>
      <c r="L26" s="9"/>
    </row>
    <row r="27" spans="3:12" ht="18">
      <c r="C27" s="9"/>
      <c r="D27" s="18"/>
      <c r="E27" s="9"/>
      <c r="F27" s="9"/>
      <c r="G27" s="9"/>
      <c r="H27" s="9"/>
      <c r="I27" s="9"/>
      <c r="J27" s="9"/>
      <c r="K27" s="9"/>
      <c r="L27" s="9"/>
    </row>
    <row r="28" spans="3:12" ht="18">
      <c r="C28" s="9"/>
      <c r="D28" s="18"/>
      <c r="E28" s="9"/>
      <c r="F28" s="9"/>
      <c r="G28" s="9"/>
      <c r="H28" s="9"/>
      <c r="I28" s="9"/>
      <c r="J28" s="9"/>
      <c r="K28" s="9"/>
      <c r="L28" s="9"/>
    </row>
    <row r="29" spans="3:12" ht="18">
      <c r="C29" s="9"/>
      <c r="D29" s="18"/>
      <c r="E29" s="9"/>
      <c r="F29" s="9"/>
      <c r="G29" s="9"/>
      <c r="H29" s="9"/>
      <c r="I29" s="9"/>
      <c r="J29" s="9"/>
      <c r="K29" s="9"/>
      <c r="L29" s="9"/>
    </row>
    <row r="30" spans="3:12" ht="18">
      <c r="C30" s="9"/>
      <c r="D30" s="9"/>
      <c r="E30" s="9"/>
      <c r="F30" s="9"/>
      <c r="G30" s="9"/>
      <c r="H30" s="9"/>
      <c r="I30" s="9"/>
      <c r="J30" s="9"/>
      <c r="K30" s="9"/>
      <c r="L30" s="9"/>
    </row>
    <row r="31" spans="3:12" ht="18">
      <c r="C31" s="9"/>
      <c r="D31" s="9"/>
      <c r="E31" s="9"/>
      <c r="F31" s="9"/>
      <c r="G31" s="9"/>
      <c r="H31" s="9"/>
      <c r="I31" s="9"/>
      <c r="J31" s="9"/>
      <c r="K31" s="9"/>
      <c r="L31" s="9"/>
    </row>
    <row r="32" spans="3:12" ht="18">
      <c r="C32" s="9"/>
      <c r="D32" s="9"/>
      <c r="E32" s="9"/>
      <c r="F32" s="9"/>
      <c r="G32" s="9"/>
      <c r="H32" s="9"/>
      <c r="I32" s="9"/>
      <c r="J32" s="9"/>
      <c r="K32" s="9"/>
      <c r="L32" s="9"/>
    </row>
  </sheetData>
  <sheetProtection sheet="1" objects="1" scenarios="1"/>
  <conditionalFormatting sqref="D7:D12 D17:D19">
    <cfRule type="cellIs" priority="1" dxfId="6" operator="greaterThan" stopIfTrue="1">
      <formula>0</formula>
    </cfRule>
  </conditionalFormatting>
  <conditionalFormatting sqref="G9:G11">
    <cfRule type="cellIs" priority="2" dxfId="0" operator="greaterThan" stopIfTrue="1">
      <formula>0</formula>
    </cfRule>
  </conditionalFormatting>
  <conditionalFormatting sqref="E7:E12 E17:E19">
    <cfRule type="cellIs" priority="3" dxfId="7" operator="greaterThan" stopIfTrue="1">
      <formula>0</formula>
    </cfRule>
  </conditionalFormatting>
  <conditionalFormatting sqref="F9:F10 F12">
    <cfRule type="cellIs" priority="4" dxfId="4" operator="greaterThan" stopIfTrue="1">
      <formula>0</formula>
    </cfRule>
  </conditionalFormatting>
  <conditionalFormatting sqref="D16:E16">
    <cfRule type="cellIs" priority="5" dxfId="0" operator="notEqual" stopIfTrue="1">
      <formula>""</formula>
    </cfRule>
  </conditionalFormatting>
  <printOptions/>
  <pageMargins left="0.75" right="0.75" top="1" bottom="1" header="0.5" footer="0.5"/>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K24"/>
  <sheetViews>
    <sheetView workbookViewId="0" topLeftCell="A1">
      <selection activeCell="E5" sqref="E5"/>
    </sheetView>
  </sheetViews>
  <sheetFormatPr defaultColWidth="9.140625" defaultRowHeight="12.75"/>
  <cols>
    <col min="1" max="1" width="3.421875" style="1" customWidth="1"/>
    <col min="2" max="2" width="4.28125" style="1" customWidth="1"/>
    <col min="3" max="3" width="15.00390625" style="1" customWidth="1"/>
    <col min="4" max="4" width="19.57421875" style="1" customWidth="1"/>
    <col min="5" max="5" width="12.7109375" style="165" customWidth="1"/>
    <col min="6" max="6" width="22.140625" style="1" bestFit="1" customWidth="1"/>
    <col min="7" max="7" width="3.57421875" style="1" customWidth="1"/>
    <col min="8" max="8" width="29.8515625" style="1" customWidth="1"/>
    <col min="9" max="9" width="12.57421875" style="1" customWidth="1"/>
    <col min="10" max="10" width="6.7109375" style="1" customWidth="1"/>
    <col min="11" max="16384" width="9.140625" style="1" customWidth="1"/>
  </cols>
  <sheetData>
    <row r="1" spans="1:11" ht="18">
      <c r="A1" s="85"/>
      <c r="B1" s="85"/>
      <c r="C1" s="85"/>
      <c r="D1" s="85"/>
      <c r="E1" s="164"/>
      <c r="F1" s="85"/>
      <c r="G1" s="85"/>
      <c r="H1" s="85"/>
      <c r="I1" s="85"/>
      <c r="J1" s="85"/>
      <c r="K1" s="85"/>
    </row>
    <row r="2" spans="1:11" ht="18">
      <c r="A2" s="85"/>
      <c r="B2" s="85"/>
      <c r="C2" s="85"/>
      <c r="D2" s="251" t="s">
        <v>157</v>
      </c>
      <c r="E2" s="164"/>
      <c r="F2" s="85"/>
      <c r="G2" s="85"/>
      <c r="H2" s="85"/>
      <c r="I2" s="85"/>
      <c r="J2" s="85"/>
      <c r="K2" s="85"/>
    </row>
    <row r="3" spans="1:11" ht="18.75" thickBot="1">
      <c r="A3" s="85"/>
      <c r="B3" s="85"/>
      <c r="C3" s="85"/>
      <c r="D3" s="85"/>
      <c r="E3" s="166"/>
      <c r="F3" s="166"/>
      <c r="G3" s="85"/>
      <c r="H3" s="85"/>
      <c r="I3" s="85"/>
      <c r="J3" s="85"/>
      <c r="K3" s="85"/>
    </row>
    <row r="4" spans="1:11" ht="18.75" thickTop="1">
      <c r="A4" s="85"/>
      <c r="B4" s="2"/>
      <c r="C4" s="3"/>
      <c r="D4" s="3"/>
      <c r="E4" s="167"/>
      <c r="F4" s="3"/>
      <c r="G4" s="4"/>
      <c r="H4" s="85"/>
      <c r="I4" s="85"/>
      <c r="J4" s="85"/>
      <c r="K4" s="85"/>
    </row>
    <row r="5" spans="1:11" ht="18">
      <c r="A5" s="85"/>
      <c r="B5" s="5"/>
      <c r="C5" s="179"/>
      <c r="D5" s="175" t="s">
        <v>144</v>
      </c>
      <c r="E5" s="73">
        <v>32.1725</v>
      </c>
      <c r="F5" s="6" t="s">
        <v>141</v>
      </c>
      <c r="G5" s="7"/>
      <c r="H5" s="85"/>
      <c r="I5" s="85"/>
      <c r="J5" s="85"/>
      <c r="K5" s="85"/>
    </row>
    <row r="6" spans="1:11" ht="18">
      <c r="A6" s="85"/>
      <c r="B6" s="5"/>
      <c r="C6" s="180"/>
      <c r="D6" s="176" t="s">
        <v>134</v>
      </c>
      <c r="E6" s="73"/>
      <c r="F6" s="6" t="s">
        <v>0</v>
      </c>
      <c r="G6" s="7"/>
      <c r="H6" s="85"/>
      <c r="I6" s="85"/>
      <c r="J6" s="85"/>
      <c r="K6" s="85"/>
    </row>
    <row r="7" spans="1:11" ht="18">
      <c r="A7" s="85"/>
      <c r="B7" s="5"/>
      <c r="C7" s="180"/>
      <c r="D7" s="176" t="s">
        <v>137</v>
      </c>
      <c r="E7" s="73"/>
      <c r="F7" s="6" t="s">
        <v>138</v>
      </c>
      <c r="G7" s="7"/>
      <c r="H7" s="85"/>
      <c r="I7" s="85"/>
      <c r="J7" s="85"/>
      <c r="K7" s="85"/>
    </row>
    <row r="8" spans="1:11" ht="18">
      <c r="A8" s="85"/>
      <c r="B8" s="5"/>
      <c r="C8" s="181"/>
      <c r="D8" s="177" t="s">
        <v>135</v>
      </c>
      <c r="E8" s="73"/>
      <c r="F8" s="6" t="s">
        <v>0</v>
      </c>
      <c r="G8" s="7"/>
      <c r="H8" s="85"/>
      <c r="I8" s="85"/>
      <c r="J8" s="85"/>
      <c r="K8" s="85"/>
    </row>
    <row r="9" spans="1:11" ht="18">
      <c r="A9" s="85"/>
      <c r="B9" s="5"/>
      <c r="C9" s="179"/>
      <c r="D9" s="175" t="s">
        <v>136</v>
      </c>
      <c r="E9" s="73"/>
      <c r="F9" s="6" t="s">
        <v>2</v>
      </c>
      <c r="G9" s="7"/>
      <c r="H9" s="85"/>
      <c r="I9" s="85"/>
      <c r="J9" s="85"/>
      <c r="K9" s="85"/>
    </row>
    <row r="10" spans="1:11" ht="18">
      <c r="A10" s="85"/>
      <c r="B10" s="5"/>
      <c r="C10" s="6"/>
      <c r="D10" s="178"/>
      <c r="E10" s="8"/>
      <c r="F10" s="6"/>
      <c r="G10" s="7"/>
      <c r="H10" s="85"/>
      <c r="I10" s="85"/>
      <c r="J10" s="85"/>
      <c r="K10" s="85"/>
    </row>
    <row r="11" spans="1:11" ht="18">
      <c r="A11" s="85"/>
      <c r="B11" s="5"/>
      <c r="C11" s="6"/>
      <c r="D11" s="168" t="s">
        <v>132</v>
      </c>
      <c r="E11" s="174">
        <f>IF(AND(E5&lt;&gt;"",E6&lt;&gt;"",E7&lt;&gt;""),(E6*(E7^2))/(7000*2*E5),"")</f>
      </c>
      <c r="F11" s="6" t="s">
        <v>140</v>
      </c>
      <c r="G11" s="169"/>
      <c r="H11" s="85"/>
      <c r="I11" s="85"/>
      <c r="J11" s="85"/>
      <c r="K11" s="85"/>
    </row>
    <row r="12" spans="1:11" ht="18">
      <c r="A12" s="85"/>
      <c r="B12" s="5"/>
      <c r="C12" s="6"/>
      <c r="D12" s="168" t="s">
        <v>133</v>
      </c>
      <c r="E12" s="173">
        <f>IF(AND(E6&lt;&gt;"",E7&lt;&gt;""),(E6*E7)/1000,"")</f>
      </c>
      <c r="F12" s="6"/>
      <c r="G12" s="7"/>
      <c r="H12" s="85"/>
      <c r="I12" s="85"/>
      <c r="J12" s="85"/>
      <c r="K12" s="85"/>
    </row>
    <row r="13" spans="1:11" ht="18">
      <c r="A13" s="85"/>
      <c r="B13" s="5"/>
      <c r="C13" s="6"/>
      <c r="D13" s="168" t="s">
        <v>131</v>
      </c>
      <c r="E13" s="171">
        <f>IF(AND(E5&lt;&gt;"",E6&lt;&gt;"",E7&lt;&gt;"",E8&lt;&gt;""),((E6*E7)+(4000*E8))/(7000*E5),"")</f>
      </c>
      <c r="F13" s="6" t="s">
        <v>139</v>
      </c>
      <c r="G13" s="169"/>
      <c r="H13" s="85"/>
      <c r="I13" s="85"/>
      <c r="J13" s="85"/>
      <c r="K13" s="85"/>
    </row>
    <row r="14" spans="1:11" ht="18">
      <c r="A14" s="85"/>
      <c r="B14" s="5"/>
      <c r="C14" s="6"/>
      <c r="D14" s="168" t="s">
        <v>142</v>
      </c>
      <c r="E14" s="172">
        <f>IF(AND(E5&lt;&gt;"",E9&lt;&gt;"",E13&lt;&gt;""),(E5*E13)/(E9/16),"")</f>
      </c>
      <c r="F14" s="6" t="s">
        <v>138</v>
      </c>
      <c r="G14" s="169"/>
      <c r="H14" s="85"/>
      <c r="I14" s="85"/>
      <c r="J14" s="85"/>
      <c r="K14" s="85"/>
    </row>
    <row r="15" spans="1:11" ht="18">
      <c r="A15" s="85"/>
      <c r="B15" s="5"/>
      <c r="C15" s="6"/>
      <c r="D15" s="168" t="s">
        <v>143</v>
      </c>
      <c r="E15" s="172">
        <f>IF(AND(E5&lt;&gt;"",E9&lt;&gt;"",E14&lt;&gt;""),((E9/16)*(E14^2))/(E5*2),"")</f>
      </c>
      <c r="F15" s="6" t="s">
        <v>140</v>
      </c>
      <c r="G15" s="169"/>
      <c r="H15" s="85"/>
      <c r="I15" s="85"/>
      <c r="J15" s="85"/>
      <c r="K15" s="85"/>
    </row>
    <row r="16" spans="1:11" ht="18.75" thickBot="1">
      <c r="A16" s="85"/>
      <c r="B16" s="14"/>
      <c r="C16" s="15"/>
      <c r="D16" s="15"/>
      <c r="E16" s="170"/>
      <c r="F16" s="15"/>
      <c r="G16" s="17"/>
      <c r="H16" s="85"/>
      <c r="I16" s="85"/>
      <c r="J16" s="85"/>
      <c r="K16" s="85"/>
    </row>
    <row r="17" spans="1:11" ht="18.75" thickTop="1">
      <c r="A17" s="85"/>
      <c r="B17" s="85"/>
      <c r="C17" s="85"/>
      <c r="D17" s="85"/>
      <c r="E17" s="164"/>
      <c r="F17" s="85"/>
      <c r="G17" s="85"/>
      <c r="H17" s="85"/>
      <c r="I17" s="85"/>
      <c r="J17" s="85"/>
      <c r="K17" s="85"/>
    </row>
    <row r="18" spans="1:11" ht="18">
      <c r="A18" s="85"/>
      <c r="B18" s="85"/>
      <c r="C18" s="85"/>
      <c r="D18" s="85"/>
      <c r="E18" s="164"/>
      <c r="F18" s="85"/>
      <c r="G18" s="85"/>
      <c r="H18" s="85"/>
      <c r="I18" s="85"/>
      <c r="J18" s="85"/>
      <c r="K18" s="85"/>
    </row>
    <row r="19" spans="1:11" ht="18">
      <c r="A19" s="85"/>
      <c r="B19" s="85"/>
      <c r="C19" s="85"/>
      <c r="D19" s="85"/>
      <c r="E19" s="164"/>
      <c r="F19" s="85"/>
      <c r="G19" s="85"/>
      <c r="H19" s="85"/>
      <c r="I19" s="85"/>
      <c r="J19" s="85"/>
      <c r="K19" s="85"/>
    </row>
    <row r="20" spans="1:11" ht="18">
      <c r="A20" s="85"/>
      <c r="B20" s="85"/>
      <c r="C20" s="85"/>
      <c r="D20" s="85"/>
      <c r="E20" s="164"/>
      <c r="F20" s="85"/>
      <c r="G20" s="85"/>
      <c r="H20" s="85"/>
      <c r="I20" s="85"/>
      <c r="J20" s="85"/>
      <c r="K20" s="85"/>
    </row>
    <row r="21" spans="1:11" ht="18">
      <c r="A21" s="85"/>
      <c r="B21" s="85"/>
      <c r="C21" s="85"/>
      <c r="D21" s="85"/>
      <c r="E21" s="164"/>
      <c r="F21" s="85"/>
      <c r="G21" s="85"/>
      <c r="H21" s="85"/>
      <c r="I21" s="85"/>
      <c r="J21" s="85"/>
      <c r="K21" s="85"/>
    </row>
    <row r="22" spans="1:11" ht="18">
      <c r="A22" s="85"/>
      <c r="B22" s="85"/>
      <c r="C22" s="85"/>
      <c r="D22" s="85"/>
      <c r="E22" s="164"/>
      <c r="F22" s="85"/>
      <c r="G22" s="85"/>
      <c r="H22" s="85"/>
      <c r="I22" s="85"/>
      <c r="J22" s="85"/>
      <c r="K22" s="85"/>
    </row>
    <row r="23" spans="1:11" ht="18">
      <c r="A23" s="85"/>
      <c r="B23" s="85"/>
      <c r="C23" s="85"/>
      <c r="D23" s="85"/>
      <c r="E23" s="164"/>
      <c r="F23" s="85"/>
      <c r="G23" s="85"/>
      <c r="H23" s="85"/>
      <c r="I23" s="85"/>
      <c r="J23" s="85"/>
      <c r="K23" s="85"/>
    </row>
    <row r="24" spans="1:11" ht="18">
      <c r="A24" s="85"/>
      <c r="B24" s="85"/>
      <c r="C24" s="85"/>
      <c r="D24" s="85"/>
      <c r="E24" s="164"/>
      <c r="F24" s="85"/>
      <c r="G24" s="85"/>
      <c r="H24" s="85"/>
      <c r="I24" s="85"/>
      <c r="J24" s="85"/>
      <c r="K24" s="85"/>
    </row>
  </sheetData>
  <sheetProtection sheet="1" objects="1" scenarios="1"/>
  <printOptions/>
  <pageMargins left="0.75" right="0.75" top="1" bottom="1" header="0.5" footer="0.5"/>
  <pageSetup horizontalDpi="300" verticalDpi="300" orientation="landscape" r:id="rId3"/>
  <legacyDrawing r:id="rId2"/>
</worksheet>
</file>

<file path=xl/worksheets/sheet7.xml><?xml version="1.0" encoding="utf-8"?>
<worksheet xmlns="http://schemas.openxmlformats.org/spreadsheetml/2006/main" xmlns:r="http://schemas.openxmlformats.org/officeDocument/2006/relationships">
  <dimension ref="B4:B4"/>
  <sheetViews>
    <sheetView workbookViewId="0" topLeftCell="A1">
      <selection activeCell="A1" sqref="A1"/>
    </sheetView>
  </sheetViews>
  <sheetFormatPr defaultColWidth="9.140625" defaultRowHeight="12.75"/>
  <cols>
    <col min="1" max="5" width="9.140625" style="158" customWidth="1"/>
    <col min="6" max="6" width="15.7109375" style="158" bestFit="1" customWidth="1"/>
    <col min="7" max="7" width="9.140625" style="158" customWidth="1"/>
    <col min="8" max="8" width="15.7109375" style="158" bestFit="1" customWidth="1"/>
    <col min="9" max="9" width="12.8515625" style="158" bestFit="1" customWidth="1"/>
    <col min="10" max="16384" width="9.140625" style="158" customWidth="1"/>
  </cols>
  <sheetData>
    <row r="4" ht="15">
      <c r="B4" s="227" t="s">
        <v>130</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Glock Talk  - Reloading</dc:title>
  <dc:subject/>
  <dc:creator>Timothy W.Hartle</dc:creator>
  <cp:keywords/>
  <dc:description/>
  <cp:lastModifiedBy>Timothy W. Hartle</cp:lastModifiedBy>
  <cp:lastPrinted>2002-07-28T19:44:38Z</cp:lastPrinted>
  <dcterms:created xsi:type="dcterms:W3CDTF">2001-08-02T12:25:47Z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